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Default Extension="jpeg" ContentType="image/jpeg"/>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4400" yWindow="-15" windowWidth="14445" windowHeight="12945"/>
  </bookViews>
  <sheets>
    <sheet name="Intro" sheetId="6" r:id="rId1"/>
    <sheet name="Calculator" sheetId="4" r:id="rId2"/>
    <sheet name="temp" sheetId="2" state="hidden" r:id="rId3"/>
    <sheet name="SF" sheetId="1" state="hidden" r:id="rId4"/>
    <sheet name="Field costs" sheetId="3" state="hidden" r:id="rId5"/>
    <sheet name="storage" sheetId="5" state="hidden" r:id="rId6"/>
  </sheets>
  <definedNames>
    <definedName name="Ac">Calculator!$H$26</definedName>
    <definedName name="Aland">Calculator!$H$13</definedName>
    <definedName name="Alanduse">Calculator!$H$28</definedName>
    <definedName name="cpc0">Calculator!$O$45</definedName>
    <definedName name="cpc1_">Calculator!$P$45</definedName>
    <definedName name="cpc2_">Calculator!$Q$45</definedName>
    <definedName name="cPdo">Calculator!$O$69</definedName>
    <definedName name="cPm">Calculator!$O$71</definedName>
    <definedName name="cPop">Calculator!$O$73</definedName>
    <definedName name="cQsol">Calculator!$O$49</definedName>
    <definedName name="cRT0">Calculator!$O$51</definedName>
    <definedName name="cRT1_">Calculator!$P$51</definedName>
    <definedName name="cRT2_">Calculator!$Q$51</definedName>
    <definedName name="cV0">Calculator!$O$57</definedName>
    <definedName name="Dloc">Calculator!$H$17</definedName>
    <definedName name="G0">Calculator!$H$11</definedName>
    <definedName name="Itot">Calculator!$H$32</definedName>
    <definedName name="n?1_9_10\sli?1\dir?horizontal\min?0\max?100" hidden="1">Calculator!$J$9</definedName>
    <definedName name="Pb">Calculator!$H$65</definedName>
    <definedName name="pc">Calculator!$H$45</definedName>
    <definedName name="Pdo">Calculator!$H$69</definedName>
    <definedName name="Pgl">Calculator!$H$63</definedName>
    <definedName name="Pheat">Calculator!$H$21</definedName>
    <definedName name="pland">Calculator!$H$15</definedName>
    <definedName name="Pm">Calculator!$H$71</definedName>
    <definedName name="Pop">Calculator!$H$73</definedName>
    <definedName name="Prod">Calculator!$H$9</definedName>
    <definedName name="Ps">Calculator!$H$61</definedName>
    <definedName name="Ptotc">Calculator!$H$47</definedName>
    <definedName name="Ptotland">Calculator!$H$39</definedName>
    <definedName name="Ptottrans">Calculator!$H$43</definedName>
    <definedName name="px_borehole">Calculator!$V$63</definedName>
    <definedName name="px_pond">Calculator!$V$62</definedName>
    <definedName name="px_steel">Calculator!$V$61</definedName>
    <definedName name="Qsol0">Calculator!$H$49</definedName>
    <definedName name="Qsol1">Calculator!$H$51</definedName>
    <definedName name="Qsol2">Calculator!$H$53</definedName>
    <definedName name="Qtrans">Calculator!$H$41</definedName>
    <definedName name="SF">Calculator!$H$55</definedName>
    <definedName name="SPT">Calculator!$H$21</definedName>
    <definedName name="Subtot">Calculator!$H$67</definedName>
    <definedName name="Top">Calculator!$H$19</definedName>
    <definedName name="Vs">Calculator!$H$30</definedName>
    <definedName name="Vs_Ac">Calculator!$H$57</definedName>
  </definedNames>
  <calcPr calcId="125725"/>
</workbook>
</file>

<file path=xl/calcChain.xml><?xml version="1.0" encoding="utf-8"?>
<calcChain xmlns="http://schemas.openxmlformats.org/spreadsheetml/2006/main">
  <c r="H9" i="4"/>
  <c r="H13"/>
  <c r="I4"/>
  <c r="H4"/>
  <c r="C4"/>
  <c r="H17"/>
  <c r="H21"/>
  <c r="H11"/>
  <c r="H15"/>
  <c r="H19"/>
  <c r="H26" l="1"/>
  <c r="H28" s="1"/>
  <c r="H39" s="1"/>
  <c r="H45"/>
  <c r="H65"/>
  <c r="H63"/>
  <c r="I19" i="5"/>
  <c r="I18"/>
  <c r="H17"/>
  <c r="H16"/>
  <c r="J16"/>
  <c r="K10"/>
  <c r="J10"/>
  <c r="K9"/>
  <c r="J9"/>
  <c r="I8"/>
  <c r="H8"/>
  <c r="H10" i="3"/>
  <c r="H9"/>
  <c r="H8"/>
  <c r="H7"/>
  <c r="H6"/>
  <c r="H43" i="4" l="1"/>
  <c r="H41"/>
  <c r="H47"/>
  <c r="H49"/>
  <c r="H51" s="1"/>
  <c r="H53" l="1"/>
  <c r="H55" s="1"/>
  <c r="H57" s="1"/>
  <c r="H30" l="1"/>
  <c r="H59" s="1"/>
  <c r="V61" l="1"/>
  <c r="V62"/>
  <c r="H61" l="1"/>
  <c r="H67" s="1"/>
  <c r="H69"/>
  <c r="H71"/>
  <c r="H32" l="1"/>
  <c r="H73"/>
  <c r="H34" s="1"/>
  <c r="I12" i="2"/>
  <c r="I11"/>
  <c r="I10"/>
  <c r="I9"/>
  <c r="I8"/>
  <c r="I7"/>
  <c r="F10" i="3"/>
  <c r="F9"/>
  <c r="F8"/>
  <c r="F7"/>
  <c r="G9"/>
  <c r="G8"/>
  <c r="G7"/>
  <c r="G6"/>
  <c r="G10"/>
  <c r="F6"/>
  <c r="E10"/>
  <c r="E9"/>
  <c r="E8"/>
  <c r="E7"/>
  <c r="E6"/>
  <c r="G12" i="2"/>
  <c r="F12"/>
  <c r="G11"/>
  <c r="F11"/>
  <c r="G10"/>
  <c r="F10"/>
  <c r="G9"/>
  <c r="F9"/>
  <c r="G8"/>
  <c r="F8"/>
  <c r="G7"/>
  <c r="F7"/>
  <c r="H7" l="1"/>
  <c r="H8"/>
  <c r="H9"/>
  <c r="H10"/>
  <c r="H11"/>
  <c r="H12"/>
  <c r="F16" i="1"/>
  <c r="E16"/>
  <c r="D16"/>
  <c r="F15"/>
  <c r="E15"/>
  <c r="D15"/>
  <c r="F14"/>
  <c r="E14"/>
  <c r="D14"/>
  <c r="F13"/>
  <c r="E13"/>
  <c r="D13"/>
  <c r="F12"/>
  <c r="E12"/>
  <c r="D12"/>
  <c r="F11"/>
  <c r="E11"/>
  <c r="D11"/>
  <c r="F10"/>
  <c r="E10"/>
  <c r="D10"/>
  <c r="F9"/>
  <c r="E9"/>
  <c r="D9"/>
  <c r="F8"/>
  <c r="E8"/>
  <c r="D8"/>
  <c r="F7"/>
  <c r="E7"/>
  <c r="D7"/>
  <c r="F6"/>
  <c r="E6"/>
  <c r="D6"/>
</calcChain>
</file>

<file path=xl/sharedStrings.xml><?xml version="1.0" encoding="utf-8"?>
<sst xmlns="http://schemas.openxmlformats.org/spreadsheetml/2006/main" count="240" uniqueCount="161">
  <si>
    <t>Solar Output versus Solar Fraction</t>
  </si>
  <si>
    <t>A = 1 000 m²</t>
  </si>
  <si>
    <t>A = 10 000 m²</t>
  </si>
  <si>
    <t>A = 100 000 m²</t>
  </si>
  <si>
    <t>I</t>
  </si>
  <si>
    <t>II</t>
  </si>
  <si>
    <t>Collector I</t>
  </si>
  <si>
    <t>Collector II</t>
  </si>
  <si>
    <t>ave</t>
  </si>
  <si>
    <t>Relative solar output</t>
  </si>
  <si>
    <t>Average operating temperature - network side</t>
  </si>
  <si>
    <t>°C</t>
  </si>
  <si>
    <t>Land area available</t>
  </si>
  <si>
    <t>Distance to network connection</t>
  </si>
  <si>
    <t>kWh/m²</t>
  </si>
  <si>
    <t>m²</t>
  </si>
  <si>
    <t>€/m²</t>
  </si>
  <si>
    <t>km</t>
  </si>
  <si>
    <t>Land costs</t>
  </si>
  <si>
    <t>mio €</t>
  </si>
  <si>
    <t>Formula</t>
  </si>
  <si>
    <t>G0</t>
  </si>
  <si>
    <t>Aland</t>
  </si>
  <si>
    <t>Price per m² land</t>
  </si>
  <si>
    <t>Dloc</t>
  </si>
  <si>
    <t>Ac</t>
  </si>
  <si>
    <t>pc</t>
  </si>
  <si>
    <t>Own</t>
  </si>
  <si>
    <t>Own input</t>
  </si>
  <si>
    <t>cpc2</t>
  </si>
  <si>
    <t>cpc1</t>
  </si>
  <si>
    <t>cpc0</t>
  </si>
  <si>
    <t>cpc0+cpc1_*Ac+cpc2_*Ac^2</t>
  </si>
  <si>
    <t>Calc</t>
  </si>
  <si>
    <t>Costs of transmission piping</t>
  </si>
  <si>
    <t>pc*Ac/1000000</t>
  </si>
  <si>
    <t>Solar output - temperature corrected</t>
  </si>
  <si>
    <t xml:space="preserve">Solar output - corrected for transmissions losses </t>
  </si>
  <si>
    <t>Transmission heat losses</t>
  </si>
  <si>
    <t>Qtrans</t>
  </si>
  <si>
    <t>Qsol0</t>
  </si>
  <si>
    <t>Qsol1</t>
  </si>
  <si>
    <t>Qsol2</t>
  </si>
  <si>
    <t>MWh</t>
  </si>
  <si>
    <t>Top</t>
  </si>
  <si>
    <t>Nominal solar output (Top = 50°C)</t>
  </si>
  <si>
    <t>cQsol</t>
  </si>
  <si>
    <t>cQsol*G0*Ac/1000</t>
  </si>
  <si>
    <t>Name</t>
  </si>
  <si>
    <t>Parameter</t>
  </si>
  <si>
    <t>Unit</t>
  </si>
  <si>
    <t>Regression constants</t>
  </si>
  <si>
    <t>Total load on network (= annual production)</t>
  </si>
  <si>
    <t>Prod</t>
  </si>
  <si>
    <t>Collector area</t>
  </si>
  <si>
    <t>Qsol1-Qtrans</t>
  </si>
  <si>
    <t>Solar fraction</t>
  </si>
  <si>
    <t>SF</t>
  </si>
  <si>
    <t>-</t>
  </si>
  <si>
    <t>Qsol2/Prod</t>
  </si>
  <si>
    <t>Storage volume</t>
  </si>
  <si>
    <t>Store volume</t>
  </si>
  <si>
    <t>V/A</t>
  </si>
  <si>
    <t>Steel tank</t>
  </si>
  <si>
    <t>€/kr</t>
  </si>
  <si>
    <t>Pond</t>
  </si>
  <si>
    <t>Borehole</t>
  </si>
  <si>
    <t>V in m3</t>
  </si>
  <si>
    <t>€/m3</t>
  </si>
  <si>
    <t>kr/m3</t>
  </si>
  <si>
    <t>Pond / Borehole</t>
  </si>
  <si>
    <t>Volume</t>
  </si>
  <si>
    <t>cV0</t>
  </si>
  <si>
    <t>cRT0</t>
  </si>
  <si>
    <t>cRT1</t>
  </si>
  <si>
    <t>cRT2</t>
  </si>
  <si>
    <t>(cRT0+cRT1_*Top+cRT2_*Top^2)*Qsol0</t>
  </si>
  <si>
    <t>m3/m2</t>
  </si>
  <si>
    <t>Storage volume per collector area</t>
  </si>
  <si>
    <t>Vs_Ac</t>
  </si>
  <si>
    <t>Vs</t>
  </si>
  <si>
    <t>m3</t>
  </si>
  <si>
    <t>Vs_Ac*Ac</t>
  </si>
  <si>
    <t>Store type</t>
  </si>
  <si>
    <t>S_type</t>
  </si>
  <si>
    <t>cx0</t>
  </si>
  <si>
    <t>cx1</t>
  </si>
  <si>
    <t>None</t>
  </si>
  <si>
    <t>px</t>
  </si>
  <si>
    <t>Pond/Borehole</t>
  </si>
  <si>
    <t>hvis(SF&lt;0.2;0;SF*cV0)</t>
  </si>
  <si>
    <t>Costs of collector field per m² (incl. installation)</t>
  </si>
  <si>
    <t>Costs of collector field  (incl. installation)</t>
  </si>
  <si>
    <t>Other costs - ground levelling</t>
  </si>
  <si>
    <t>Other costs - misc.</t>
  </si>
  <si>
    <t>Other costs - buildings</t>
  </si>
  <si>
    <t>Other costs - design and optimization</t>
  </si>
  <si>
    <t>Ps</t>
  </si>
  <si>
    <t>Ptotc</t>
  </si>
  <si>
    <t>Pgl</t>
  </si>
  <si>
    <t>Pb</t>
  </si>
  <si>
    <t>Pdo</t>
  </si>
  <si>
    <t>Pm</t>
  </si>
  <si>
    <t>Total investment</t>
  </si>
  <si>
    <t>Simpel payback time</t>
  </si>
  <si>
    <t>SPT</t>
  </si>
  <si>
    <t>Itot</t>
  </si>
  <si>
    <t>Subtotal</t>
  </si>
  <si>
    <t>Subtot</t>
  </si>
  <si>
    <t>Ptotland</t>
  </si>
  <si>
    <t>Ptottrans</t>
  </si>
  <si>
    <t>Pheat</t>
  </si>
  <si>
    <t>€/MWh</t>
  </si>
  <si>
    <t>Mio €</t>
  </si>
  <si>
    <t>Years</t>
  </si>
  <si>
    <t>Pop</t>
  </si>
  <si>
    <t>Operational costs - annually</t>
  </si>
  <si>
    <t>Pb+Pgl+Ps+Ptotc+Ptotland+Ptottrans</t>
  </si>
  <si>
    <t>Pm+Pdo+Subtot</t>
  </si>
  <si>
    <t>cPm</t>
  </si>
  <si>
    <t>cPdo</t>
  </si>
  <si>
    <t>Subtot*cPm</t>
  </si>
  <si>
    <t>Subtot*cPdo</t>
  </si>
  <si>
    <t>cPop</t>
  </si>
  <si>
    <t>J.E.Nielsen, PlanEnergi</t>
  </si>
  <si>
    <t>Value used</t>
  </si>
  <si>
    <t>Solar irradiation on horizontal at location</t>
  </si>
  <si>
    <t>Storage cost all included</t>
  </si>
  <si>
    <t>Main results</t>
  </si>
  <si>
    <t>Main inputs</t>
  </si>
  <si>
    <t>Detailed inputs</t>
  </si>
  <si>
    <t>Own or Calc</t>
  </si>
  <si>
    <t>%</t>
  </si>
  <si>
    <t>IF(C57=S57;HVIS(Vs&lt;=10000;S59;"Pond/Borehole");C57))</t>
  </si>
  <si>
    <t>IF(H57="Steel tank";px_steel;px_pond))/1000000</t>
  </si>
  <si>
    <t>Itot*cPop</t>
  </si>
  <si>
    <t>The calculator needs at minimum 7 input - see "Main inputs".</t>
  </si>
  <si>
    <t>16 + 2 more specific/detailed inputs can be given - see "Detailed inputs" and "Main results"</t>
  </si>
  <si>
    <r>
      <t xml:space="preserve">When the value in the left column "Own or calc" = </t>
    </r>
    <r>
      <rPr>
        <b/>
        <sz val="11"/>
        <color theme="1"/>
        <rFont val="Calibri"/>
        <family val="2"/>
        <scheme val="minor"/>
      </rPr>
      <t>"Calc"</t>
    </r>
    <r>
      <rPr>
        <sz val="11"/>
        <color theme="1"/>
        <rFont val="Calibri"/>
        <family val="2"/>
        <scheme val="minor"/>
      </rPr>
      <t xml:space="preserve">, then the value given in </t>
    </r>
    <r>
      <rPr>
        <b/>
        <sz val="11"/>
        <color theme="1"/>
        <rFont val="Calibri"/>
        <family val="2"/>
        <scheme val="minor"/>
      </rPr>
      <t>"Own input" is ignored</t>
    </r>
  </si>
  <si>
    <r>
      <t xml:space="preserve">When the value in the left column "Own or calc" = </t>
    </r>
    <r>
      <rPr>
        <b/>
        <sz val="11"/>
        <color theme="1"/>
        <rFont val="Calibri"/>
        <family val="2"/>
        <scheme val="minor"/>
      </rPr>
      <t>"Calc"</t>
    </r>
    <r>
      <rPr>
        <sz val="11"/>
        <color theme="1"/>
        <rFont val="Calibri"/>
        <family val="2"/>
        <scheme val="minor"/>
      </rPr>
      <t xml:space="preserve">, then the </t>
    </r>
    <r>
      <rPr>
        <b/>
        <sz val="11"/>
        <color theme="1"/>
        <rFont val="Calibri"/>
        <family val="2"/>
        <scheme val="minor"/>
      </rPr>
      <t>"Value used" is calculated</t>
    </r>
    <r>
      <rPr>
        <sz val="11"/>
        <color theme="1"/>
        <rFont val="Calibri"/>
        <family val="2"/>
        <scheme val="minor"/>
      </rPr>
      <t xml:space="preserve"> according to [1]</t>
    </r>
  </si>
  <si>
    <t>Introduction</t>
  </si>
  <si>
    <t>The sole responsibility for the content of this publication lies with the authors. However neither the authors nor EACI, nor the European Commission is responsible for any use that may be made of the information contained therein. It does not necessarily reflect the opinion of the European Union.</t>
  </si>
  <si>
    <t>This sheet "Intro" gives an introduction to how to use the calculator</t>
  </si>
  <si>
    <t>In the sheet "Calculator" the calculations can be done</t>
  </si>
  <si>
    <t>This calculator gives an quick estimate of the economy of the solar part of a solar district heating system</t>
  </si>
  <si>
    <t>Simple calculator for quick feasibility study of solar district heating</t>
  </si>
  <si>
    <t>f-EASY (SDH)</t>
  </si>
  <si>
    <r>
      <t>Dloc*(100/Ac</t>
    </r>
    <r>
      <rPr>
        <sz val="10"/>
        <rFont val="Arial"/>
        <family val="2"/>
      </rPr>
      <t xml:space="preserve"> + 0.128/</t>
    </r>
    <r>
      <rPr>
        <i/>
        <sz val="10"/>
        <rFont val="Arial"/>
        <family val="2"/>
      </rPr>
      <t>SQRT</t>
    </r>
    <r>
      <rPr>
        <sz val="10"/>
        <rFont val="Arial"/>
        <family val="2"/>
      </rPr>
      <t>(Ac))</t>
    </r>
  </si>
  <si>
    <r>
      <t>2600 * SQRT(Ac</t>
    </r>
    <r>
      <rPr>
        <i/>
        <sz val="10"/>
        <rFont val="Arial"/>
        <family val="2"/>
      </rPr>
      <t>)</t>
    </r>
  </si>
  <si>
    <t>min(Aland/3;Prod/0.5)</t>
  </si>
  <si>
    <t>Land area used</t>
  </si>
  <si>
    <t>Alanduse</t>
  </si>
  <si>
    <t>Ac*3</t>
  </si>
  <si>
    <t>Pland</t>
  </si>
  <si>
    <t>Alanduse*Pland/1000000</t>
  </si>
  <si>
    <t>Acceptable heat production price</t>
  </si>
  <si>
    <t>21/9 2012</t>
  </si>
  <si>
    <t>When the value in the left column "Own or calc" = "Own", then the "Value used" = "Own value"</t>
  </si>
  <si>
    <t>version 0.8</t>
  </si>
  <si>
    <t>http://www.solar-district-heating.eu/Factsheets</t>
  </si>
  <si>
    <t>[1] SDH Fact sheet 2.3 Feasilibility study - download from:</t>
  </si>
</sst>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 #,##0.0_ ;_ * \-#,##0.0_ ;_ * &quot;-&quot;??_ ;_ @_ "/>
  </numFmts>
  <fonts count="17">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24"/>
      <color theme="1"/>
      <name val="Calibri"/>
      <family val="2"/>
      <scheme val="minor"/>
    </font>
    <font>
      <i/>
      <sz val="11"/>
      <color theme="1"/>
      <name val="Calibri"/>
      <family val="2"/>
      <scheme val="minor"/>
    </font>
    <font>
      <b/>
      <sz val="14"/>
      <color theme="0"/>
      <name val="Calibri"/>
      <family val="2"/>
      <scheme val="minor"/>
    </font>
    <font>
      <sz val="11"/>
      <name val="Calibri"/>
      <family val="2"/>
      <scheme val="minor"/>
    </font>
    <font>
      <i/>
      <sz val="8"/>
      <color rgb="FF808080"/>
      <name val="Arial"/>
      <family val="2"/>
    </font>
    <font>
      <i/>
      <sz val="11"/>
      <name val="Calibri"/>
      <family val="2"/>
      <scheme val="minor"/>
    </font>
    <font>
      <b/>
      <sz val="14"/>
      <name val="Calibri"/>
      <family val="2"/>
      <scheme val="minor"/>
    </font>
    <font>
      <sz val="10"/>
      <name val="Arial"/>
      <family val="2"/>
    </font>
    <font>
      <i/>
      <sz val="10"/>
      <name val="Arial"/>
      <family val="2"/>
    </font>
    <font>
      <u/>
      <sz val="11"/>
      <color theme="10"/>
      <name val="Calibri"/>
      <family val="2"/>
    </font>
    <font>
      <i/>
      <u/>
      <sz val="11"/>
      <color theme="10"/>
      <name val="Calibri"/>
      <family val="2"/>
    </font>
    <font>
      <sz val="11"/>
      <color theme="2" tint="-9.9978637043366805E-2"/>
      <name val="Calibri"/>
      <family val="2"/>
      <scheme val="minor"/>
    </font>
    <font>
      <sz val="11"/>
      <color theme="1" tint="0.499984740745262"/>
      <name val="Calibri"/>
      <family val="2"/>
      <scheme val="minor"/>
    </font>
  </fonts>
  <fills count="7">
    <fill>
      <patternFill patternType="none"/>
    </fill>
    <fill>
      <patternFill patternType="gray125"/>
    </fill>
    <fill>
      <patternFill patternType="solid">
        <fgColor theme="1"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17">
    <border>
      <left/>
      <right/>
      <top/>
      <bottom/>
      <diagonal/>
    </border>
    <border>
      <left style="thin">
        <color auto="1"/>
      </left>
      <right style="thin">
        <color theme="0"/>
      </right>
      <top style="thin">
        <color auto="1"/>
      </top>
      <bottom style="thin">
        <color theme="0"/>
      </bottom>
      <diagonal/>
    </border>
    <border>
      <left style="thin">
        <color auto="1"/>
      </left>
      <right/>
      <top style="thin">
        <color auto="1"/>
      </top>
      <bottom/>
      <diagonal/>
    </border>
    <border>
      <left style="thin">
        <color auto="1"/>
      </left>
      <right style="thin">
        <color theme="0" tint="-4.9989318521683403E-2"/>
      </right>
      <top style="thin">
        <color auto="1"/>
      </top>
      <bottom style="thin">
        <color theme="0" tint="-4.9989318521683403E-2"/>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69">
    <xf numFmtId="0" fontId="0" fillId="0" borderId="0" xfId="0"/>
    <xf numFmtId="9" fontId="0" fillId="0" borderId="0" xfId="2" applyFont="1"/>
    <xf numFmtId="43" fontId="0" fillId="0" borderId="0" xfId="1" applyFont="1"/>
    <xf numFmtId="164" fontId="0" fillId="0" borderId="0" xfId="1" applyNumberFormat="1" applyFont="1"/>
    <xf numFmtId="9" fontId="0" fillId="0" borderId="0" xfId="0" applyNumberFormat="1"/>
    <xf numFmtId="11" fontId="0" fillId="0" borderId="0" xfId="0" applyNumberFormat="1"/>
    <xf numFmtId="43" fontId="0" fillId="0" borderId="0" xfId="0" applyNumberFormat="1"/>
    <xf numFmtId="1" fontId="0" fillId="0" borderId="0" xfId="0" applyNumberFormat="1"/>
    <xf numFmtId="0" fontId="0" fillId="4" borderId="0" xfId="0" applyFill="1" applyProtection="1">
      <protection hidden="1"/>
    </xf>
    <xf numFmtId="0" fontId="0" fillId="4" borderId="0" xfId="0" applyFill="1" applyAlignment="1" applyProtection="1">
      <alignment horizontal="left"/>
      <protection hidden="1"/>
    </xf>
    <xf numFmtId="0" fontId="5" fillId="4" borderId="0" xfId="0" applyFont="1" applyFill="1" applyProtection="1">
      <protection hidden="1"/>
    </xf>
    <xf numFmtId="0" fontId="5" fillId="4" borderId="0" xfId="0" applyFont="1" applyFill="1" applyAlignment="1" applyProtection="1">
      <protection hidden="1"/>
    </xf>
    <xf numFmtId="0" fontId="5" fillId="4" borderId="0" xfId="0" applyFont="1" applyFill="1" applyAlignment="1" applyProtection="1">
      <alignment horizontal="right"/>
      <protection hidden="1"/>
    </xf>
    <xf numFmtId="0" fontId="0" fillId="4" borderId="0" xfId="0" applyFill="1" applyAlignment="1" applyProtection="1">
      <alignment horizontal="right"/>
      <protection hidden="1"/>
    </xf>
    <xf numFmtId="0" fontId="0" fillId="3" borderId="0" xfId="0" applyFill="1" applyAlignment="1" applyProtection="1">
      <alignment horizontal="center"/>
      <protection hidden="1"/>
    </xf>
    <xf numFmtId="0" fontId="0" fillId="3" borderId="0" xfId="0" applyFill="1" applyProtection="1">
      <protection hidden="1"/>
    </xf>
    <xf numFmtId="0" fontId="0" fillId="4" borderId="0" xfId="0" applyFill="1" applyAlignment="1" applyProtection="1">
      <alignment horizontal="center"/>
      <protection hidden="1"/>
    </xf>
    <xf numFmtId="164" fontId="0" fillId="4" borderId="1" xfId="1" applyNumberFormat="1" applyFont="1" applyFill="1" applyBorder="1" applyProtection="1">
      <protection hidden="1"/>
    </xf>
    <xf numFmtId="164" fontId="0" fillId="4" borderId="0" xfId="1" applyNumberFormat="1" applyFont="1" applyFill="1" applyProtection="1">
      <protection hidden="1"/>
    </xf>
    <xf numFmtId="165" fontId="0" fillId="4" borderId="1" xfId="1" applyNumberFormat="1" applyFont="1" applyFill="1" applyBorder="1" applyProtection="1">
      <protection hidden="1"/>
    </xf>
    <xf numFmtId="43" fontId="0" fillId="4" borderId="0" xfId="0" applyNumberFormat="1" applyFill="1" applyProtection="1">
      <protection hidden="1"/>
    </xf>
    <xf numFmtId="0" fontId="2" fillId="4" borderId="0" xfId="0" applyFont="1" applyFill="1" applyProtection="1">
      <protection hidden="1"/>
    </xf>
    <xf numFmtId="9" fontId="0" fillId="4" borderId="1" xfId="2" applyFont="1" applyFill="1" applyBorder="1" applyProtection="1">
      <protection hidden="1"/>
    </xf>
    <xf numFmtId="0" fontId="0" fillId="4" borderId="0" xfId="0" quotePrefix="1" applyFill="1" applyProtection="1">
      <protection hidden="1"/>
    </xf>
    <xf numFmtId="43" fontId="0" fillId="4" borderId="1" xfId="1" applyNumberFormat="1" applyFont="1" applyFill="1" applyBorder="1" applyProtection="1">
      <protection hidden="1"/>
    </xf>
    <xf numFmtId="164" fontId="7" fillId="5" borderId="3" xfId="1" applyNumberFormat="1" applyFont="1" applyFill="1" applyBorder="1" applyProtection="1">
      <protection locked="0"/>
    </xf>
    <xf numFmtId="164" fontId="7" fillId="5" borderId="1" xfId="1" applyNumberFormat="1" applyFont="1" applyFill="1" applyBorder="1" applyProtection="1">
      <protection locked="0"/>
    </xf>
    <xf numFmtId="164" fontId="7" fillId="5" borderId="2" xfId="1" applyNumberFormat="1" applyFont="1" applyFill="1" applyBorder="1" applyProtection="1">
      <protection locked="0"/>
    </xf>
    <xf numFmtId="165" fontId="7" fillId="5" borderId="2" xfId="1" applyNumberFormat="1" applyFont="1" applyFill="1" applyBorder="1" applyProtection="1">
      <protection locked="0"/>
    </xf>
    <xf numFmtId="164" fontId="7" fillId="5" borderId="2" xfId="0" applyNumberFormat="1" applyFont="1" applyFill="1" applyBorder="1" applyProtection="1">
      <protection locked="0"/>
    </xf>
    <xf numFmtId="0" fontId="7" fillId="5" borderId="1" xfId="0" applyFont="1" applyFill="1" applyBorder="1" applyAlignment="1" applyProtection="1">
      <alignment horizontal="center"/>
      <protection locked="0"/>
    </xf>
    <xf numFmtId="0" fontId="0" fillId="4" borderId="0" xfId="0" applyFill="1"/>
    <xf numFmtId="0" fontId="0" fillId="6" borderId="9" xfId="0" applyFill="1" applyBorder="1"/>
    <xf numFmtId="0" fontId="0" fillId="6" borderId="0" xfId="0" applyFill="1" applyBorder="1"/>
    <xf numFmtId="0" fontId="0" fillId="6" borderId="10" xfId="0" applyFill="1" applyBorder="1"/>
    <xf numFmtId="0" fontId="0" fillId="6" borderId="11" xfId="0" applyFill="1" applyBorder="1"/>
    <xf numFmtId="0" fontId="0" fillId="6" borderId="12" xfId="0" applyFill="1" applyBorder="1"/>
    <xf numFmtId="0" fontId="0" fillId="6" borderId="13" xfId="0" applyFill="1" applyBorder="1"/>
    <xf numFmtId="0" fontId="8" fillId="6" borderId="15" xfId="0" applyFont="1" applyFill="1" applyBorder="1" applyAlignment="1">
      <alignment wrapText="1"/>
    </xf>
    <xf numFmtId="0" fontId="8" fillId="6" borderId="16" xfId="0" applyFont="1" applyFill="1" applyBorder="1" applyAlignment="1">
      <alignment wrapText="1"/>
    </xf>
    <xf numFmtId="0" fontId="9" fillId="5" borderId="5" xfId="0" applyFont="1" applyFill="1" applyBorder="1" applyAlignment="1" applyProtection="1">
      <alignment horizontal="right"/>
      <protection locked="0"/>
    </xf>
    <xf numFmtId="0" fontId="9" fillId="5" borderId="6" xfId="0" applyFont="1" applyFill="1" applyBorder="1" applyAlignment="1" applyProtection="1">
      <alignment horizontal="right"/>
      <protection locked="0"/>
    </xf>
    <xf numFmtId="0" fontId="5" fillId="4" borderId="0" xfId="0" applyFont="1" applyFill="1"/>
    <xf numFmtId="0" fontId="7" fillId="4" borderId="0" xfId="0" applyFont="1" applyFill="1" applyProtection="1">
      <protection hidden="1"/>
    </xf>
    <xf numFmtId="0" fontId="10" fillId="4" borderId="0" xfId="0" applyFont="1" applyFill="1" applyAlignment="1" applyProtection="1">
      <alignment horizontal="center"/>
      <protection hidden="1"/>
    </xf>
    <xf numFmtId="0" fontId="7" fillId="4" borderId="0" xfId="0" quotePrefix="1" applyFont="1" applyFill="1" applyProtection="1">
      <protection hidden="1"/>
    </xf>
    <xf numFmtId="0" fontId="7" fillId="4" borderId="0" xfId="0" applyFont="1" applyFill="1" applyAlignment="1" applyProtection="1">
      <alignment horizontal="left"/>
      <protection hidden="1"/>
    </xf>
    <xf numFmtId="0" fontId="5" fillId="6" borderId="9" xfId="0" applyFont="1" applyFill="1" applyBorder="1"/>
    <xf numFmtId="0" fontId="14" fillId="6" borderId="0" xfId="3" applyFont="1" applyFill="1" applyBorder="1" applyAlignment="1" applyProtection="1"/>
    <xf numFmtId="0" fontId="5" fillId="6" borderId="0" xfId="0" applyFont="1" applyFill="1" applyBorder="1"/>
    <xf numFmtId="0" fontId="5" fillId="6" borderId="10" xfId="0" applyFont="1" applyFill="1" applyBorder="1"/>
    <xf numFmtId="0" fontId="15" fillId="4" borderId="0" xfId="0" applyFont="1" applyFill="1" applyProtection="1">
      <protection hidden="1"/>
    </xf>
    <xf numFmtId="0" fontId="16" fillId="4" borderId="0" xfId="0" applyFont="1" applyFill="1" applyProtection="1">
      <protection hidden="1"/>
    </xf>
    <xf numFmtId="43" fontId="16" fillId="4" borderId="0" xfId="0" applyNumberFormat="1" applyFont="1" applyFill="1" applyProtection="1">
      <protection hidden="1"/>
    </xf>
    <xf numFmtId="11" fontId="16" fillId="4" borderId="0" xfId="0" applyNumberFormat="1" applyFont="1" applyFill="1" applyProtection="1">
      <protection hidden="1"/>
    </xf>
    <xf numFmtId="164" fontId="16" fillId="4" borderId="0" xfId="1" applyNumberFormat="1" applyFont="1" applyFill="1" applyProtection="1">
      <protection hidden="1"/>
    </xf>
    <xf numFmtId="0" fontId="4" fillId="4" borderId="0" xfId="0" applyFont="1" applyFill="1" applyAlignment="1" applyProtection="1">
      <alignment horizontal="center"/>
      <protection hidden="1"/>
    </xf>
    <xf numFmtId="0" fontId="3" fillId="4" borderId="0" xfId="0" applyFont="1" applyFill="1" applyAlignment="1" applyProtection="1">
      <alignment horizontal="center"/>
      <protection hidden="1"/>
    </xf>
    <xf numFmtId="0" fontId="6" fillId="2" borderId="2" xfId="0" applyFont="1" applyFill="1" applyBorder="1" applyAlignment="1" applyProtection="1">
      <alignment horizontal="center"/>
      <protection hidden="1"/>
    </xf>
    <xf numFmtId="0" fontId="6" fillId="2" borderId="7" xfId="0" applyFont="1" applyFill="1" applyBorder="1" applyAlignment="1" applyProtection="1">
      <alignment horizontal="center"/>
      <protection hidden="1"/>
    </xf>
    <xf numFmtId="0" fontId="6" fillId="2" borderId="8" xfId="0" applyFont="1" applyFill="1" applyBorder="1" applyAlignment="1" applyProtection="1">
      <alignment horizontal="center"/>
      <protection hidden="1"/>
    </xf>
    <xf numFmtId="0" fontId="8" fillId="6" borderId="14" xfId="0" applyFont="1" applyFill="1" applyBorder="1" applyAlignment="1">
      <alignment horizontal="left" wrapText="1"/>
    </xf>
    <xf numFmtId="0" fontId="8" fillId="6" borderId="15" xfId="0" applyFont="1" applyFill="1" applyBorder="1" applyAlignment="1">
      <alignment horizontal="left" wrapText="1"/>
    </xf>
    <xf numFmtId="0" fontId="9" fillId="5" borderId="4" xfId="0" applyFont="1" applyFill="1" applyBorder="1" applyAlignment="1" applyProtection="1">
      <alignment horizontal="left"/>
      <protection locked="0"/>
    </xf>
    <xf numFmtId="0" fontId="9" fillId="5" borderId="5" xfId="0" applyFont="1" applyFill="1" applyBorder="1" applyAlignment="1" applyProtection="1">
      <alignment horizontal="left"/>
      <protection locked="0"/>
    </xf>
    <xf numFmtId="0" fontId="16" fillId="4" borderId="0" xfId="0" applyFont="1" applyFill="1" applyAlignment="1" applyProtection="1">
      <alignment horizontal="center"/>
      <protection hidden="1"/>
    </xf>
    <xf numFmtId="0" fontId="6" fillId="2" borderId="0" xfId="0" applyFont="1" applyFill="1" applyAlignment="1" applyProtection="1">
      <alignment horizontal="center"/>
      <protection hidden="1"/>
    </xf>
    <xf numFmtId="0" fontId="5" fillId="4" borderId="0" xfId="0" applyFont="1" applyFill="1" applyAlignment="1" applyProtection="1">
      <alignment horizontal="left"/>
      <protection hidden="1"/>
    </xf>
    <xf numFmtId="0" fontId="0" fillId="6" borderId="0" xfId="0" applyFill="1"/>
  </cellXfs>
  <cellStyles count="4">
    <cellStyle name="1000-sep (2 dec)" xfId="1" builtinId="3"/>
    <cellStyle name="Hyperlink" xfId="3" builtinId="8"/>
    <cellStyle name="Normal" xfId="0" builtinId="0"/>
    <cellStyle name="Procent" xfId="2" builtinId="5"/>
  </cellStyles>
  <dxfs count="17">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
      <fill>
        <patternFill>
          <bgColor theme="2" tint="-9.9948118533890809E-2"/>
        </patternFill>
      </fill>
      <border>
        <vertical/>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da-DK"/>
  <c:chart>
    <c:title>
      <c:tx>
        <c:rich>
          <a:bodyPr/>
          <a:lstStyle/>
          <a:p>
            <a:pPr>
              <a:defRPr/>
            </a:pPr>
            <a:r>
              <a:rPr lang="en-US"/>
              <a:t>Temperature dependence</a:t>
            </a:r>
          </a:p>
        </c:rich>
      </c:tx>
    </c:title>
    <c:plotArea>
      <c:layout/>
      <c:scatterChart>
        <c:scatterStyle val="smoothMarker"/>
        <c:ser>
          <c:idx val="0"/>
          <c:order val="0"/>
          <c:tx>
            <c:strRef>
              <c:f>temp!$F$6</c:f>
              <c:strCache>
                <c:ptCount val="1"/>
                <c:pt idx="0">
                  <c:v>Collector I</c:v>
                </c:pt>
              </c:strCache>
            </c:strRef>
          </c:tx>
          <c:marker>
            <c:symbol val="none"/>
          </c:marker>
          <c:xVal>
            <c:numRef>
              <c:f>temp!$E$7:$E$12</c:f>
              <c:numCache>
                <c:formatCode>General</c:formatCode>
                <c:ptCount val="6"/>
                <c:pt idx="0">
                  <c:v>30</c:v>
                </c:pt>
                <c:pt idx="1">
                  <c:v>40</c:v>
                </c:pt>
                <c:pt idx="2">
                  <c:v>50</c:v>
                </c:pt>
                <c:pt idx="3">
                  <c:v>60</c:v>
                </c:pt>
                <c:pt idx="4">
                  <c:v>70</c:v>
                </c:pt>
                <c:pt idx="5">
                  <c:v>80</c:v>
                </c:pt>
              </c:numCache>
            </c:numRef>
          </c:xVal>
          <c:yVal>
            <c:numRef>
              <c:f>temp!$F$7:$F$12</c:f>
              <c:numCache>
                <c:formatCode>0%</c:formatCode>
                <c:ptCount val="6"/>
                <c:pt idx="0">
                  <c:v>1.4255874673629243</c:v>
                </c:pt>
                <c:pt idx="1">
                  <c:v>1.2010443864229765</c:v>
                </c:pt>
                <c:pt idx="2">
                  <c:v>1</c:v>
                </c:pt>
                <c:pt idx="3">
                  <c:v>0.82245430809399478</c:v>
                </c:pt>
                <c:pt idx="4">
                  <c:v>0.66579634464751958</c:v>
                </c:pt>
                <c:pt idx="5">
                  <c:v>0.53263707571801566</c:v>
                </c:pt>
              </c:numCache>
            </c:numRef>
          </c:yVal>
          <c:smooth val="1"/>
        </c:ser>
        <c:ser>
          <c:idx val="1"/>
          <c:order val="1"/>
          <c:tx>
            <c:strRef>
              <c:f>temp!$G$6</c:f>
              <c:strCache>
                <c:ptCount val="1"/>
                <c:pt idx="0">
                  <c:v>Collector II</c:v>
                </c:pt>
              </c:strCache>
            </c:strRef>
          </c:tx>
          <c:marker>
            <c:symbol val="none"/>
          </c:marker>
          <c:xVal>
            <c:numRef>
              <c:f>temp!$E$7:$E$12</c:f>
              <c:numCache>
                <c:formatCode>General</c:formatCode>
                <c:ptCount val="6"/>
                <c:pt idx="0">
                  <c:v>30</c:v>
                </c:pt>
                <c:pt idx="1">
                  <c:v>40</c:v>
                </c:pt>
                <c:pt idx="2">
                  <c:v>50</c:v>
                </c:pt>
                <c:pt idx="3">
                  <c:v>60</c:v>
                </c:pt>
                <c:pt idx="4">
                  <c:v>70</c:v>
                </c:pt>
                <c:pt idx="5">
                  <c:v>80</c:v>
                </c:pt>
              </c:numCache>
            </c:numRef>
          </c:xVal>
          <c:yVal>
            <c:numRef>
              <c:f>temp!$G$7:$G$12</c:f>
              <c:numCache>
                <c:formatCode>0%</c:formatCode>
                <c:ptCount val="6"/>
                <c:pt idx="0">
                  <c:v>1.2708803611738149</c:v>
                </c:pt>
                <c:pt idx="1">
                  <c:v>1.1286681715575622</c:v>
                </c:pt>
                <c:pt idx="2">
                  <c:v>1</c:v>
                </c:pt>
                <c:pt idx="3">
                  <c:v>0.88713318284424381</c:v>
                </c:pt>
                <c:pt idx="4">
                  <c:v>0.78555304740406318</c:v>
                </c:pt>
                <c:pt idx="5">
                  <c:v>0.69300225733634313</c:v>
                </c:pt>
              </c:numCache>
            </c:numRef>
          </c:yVal>
          <c:smooth val="1"/>
        </c:ser>
        <c:ser>
          <c:idx val="2"/>
          <c:order val="2"/>
          <c:marker>
            <c:symbol val="none"/>
          </c:marker>
          <c:xVal>
            <c:numRef>
              <c:f>temp!$E$7:$E$12</c:f>
              <c:numCache>
                <c:formatCode>General</c:formatCode>
                <c:ptCount val="6"/>
                <c:pt idx="0">
                  <c:v>30</c:v>
                </c:pt>
                <c:pt idx="1">
                  <c:v>40</c:v>
                </c:pt>
                <c:pt idx="2">
                  <c:v>50</c:v>
                </c:pt>
                <c:pt idx="3">
                  <c:v>60</c:v>
                </c:pt>
                <c:pt idx="4">
                  <c:v>70</c:v>
                </c:pt>
                <c:pt idx="5">
                  <c:v>80</c:v>
                </c:pt>
              </c:numCache>
            </c:numRef>
          </c:xVal>
          <c:yVal>
            <c:numRef>
              <c:f>temp!$H$7:$H$12</c:f>
              <c:numCache>
                <c:formatCode>0%</c:formatCode>
                <c:ptCount val="6"/>
                <c:pt idx="0">
                  <c:v>1.3482339142683695</c:v>
                </c:pt>
                <c:pt idx="1">
                  <c:v>1.1648562789902694</c:v>
                </c:pt>
                <c:pt idx="2">
                  <c:v>1</c:v>
                </c:pt>
                <c:pt idx="3">
                  <c:v>0.85479374546911924</c:v>
                </c:pt>
                <c:pt idx="4">
                  <c:v>0.72567469602579138</c:v>
                </c:pt>
                <c:pt idx="5">
                  <c:v>0.61281966652717945</c:v>
                </c:pt>
              </c:numCache>
            </c:numRef>
          </c:yVal>
          <c:smooth val="1"/>
        </c:ser>
        <c:axId val="120391168"/>
        <c:axId val="120394112"/>
      </c:scatterChart>
      <c:valAx>
        <c:axId val="120391168"/>
        <c:scaling>
          <c:orientation val="minMax"/>
          <c:max val="80"/>
          <c:min val="30"/>
        </c:scaling>
        <c:axPos val="b"/>
        <c:majorGridlines/>
        <c:title>
          <c:tx>
            <c:rich>
              <a:bodyPr/>
              <a:lstStyle/>
              <a:p>
                <a:pPr>
                  <a:defRPr/>
                </a:pPr>
                <a:r>
                  <a:rPr lang="en-US"/>
                  <a:t>Average temperature in heat exchanger -  network side</a:t>
                </a:r>
              </a:p>
            </c:rich>
          </c:tx>
        </c:title>
        <c:numFmt formatCode="General" sourceLinked="1"/>
        <c:tickLblPos val="nextTo"/>
        <c:crossAx val="120394112"/>
        <c:crosses val="autoZero"/>
        <c:crossBetween val="midCat"/>
      </c:valAx>
      <c:valAx>
        <c:axId val="120394112"/>
        <c:scaling>
          <c:orientation val="minMax"/>
          <c:max val="1.5"/>
          <c:min val="0.5"/>
        </c:scaling>
        <c:axPos val="l"/>
        <c:majorGridlines/>
        <c:title>
          <c:tx>
            <c:rich>
              <a:bodyPr rot="-5400000" vert="horz"/>
              <a:lstStyle/>
              <a:p>
                <a:pPr>
                  <a:defRPr/>
                </a:pPr>
                <a:r>
                  <a:rPr lang="en-US"/>
                  <a:t>Relative solar output</a:t>
                </a:r>
              </a:p>
            </c:rich>
          </c:tx>
        </c:title>
        <c:numFmt formatCode="0%" sourceLinked="1"/>
        <c:tickLblPos val="nextTo"/>
        <c:crossAx val="120391168"/>
        <c:crosses val="autoZero"/>
        <c:crossBetween val="midCat"/>
      </c:valAx>
    </c:plotArea>
    <c:legend>
      <c:legendPos val="r"/>
    </c:legend>
    <c:plotVisOnly val="1"/>
  </c:chart>
  <c:spPr>
    <a:ln>
      <a:noFill/>
    </a:ln>
  </c:sp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a-DK"/>
  <c:chart>
    <c:title>
      <c:tx>
        <c:rich>
          <a:bodyPr/>
          <a:lstStyle/>
          <a:p>
            <a:pPr>
              <a:defRPr/>
            </a:pPr>
            <a:r>
              <a:rPr lang="en-US"/>
              <a:t>Influence</a:t>
            </a:r>
            <a:r>
              <a:rPr lang="en-US" baseline="0"/>
              <a:t> of </a:t>
            </a:r>
            <a:r>
              <a:rPr lang="en-US"/>
              <a:t>Solar Fraction</a:t>
            </a:r>
          </a:p>
        </c:rich>
      </c:tx>
    </c:title>
    <c:plotArea>
      <c:layout/>
      <c:scatterChart>
        <c:scatterStyle val="smoothMarker"/>
        <c:ser>
          <c:idx val="0"/>
          <c:order val="0"/>
          <c:tx>
            <c:strRef>
              <c:f>SF!$D$5</c:f>
              <c:strCache>
                <c:ptCount val="1"/>
                <c:pt idx="0">
                  <c:v>A = 100 000 m²</c:v>
                </c:pt>
              </c:strCache>
            </c:strRef>
          </c:tx>
          <c:marker>
            <c:symbol val="none"/>
          </c:marker>
          <c:xVal>
            <c:numRef>
              <c:f>SF!$C$6:$C$16</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SF!$D$6:$D$16</c:f>
              <c:numCache>
                <c:formatCode>General</c:formatCode>
                <c:ptCount val="11"/>
                <c:pt idx="0">
                  <c:v>1</c:v>
                </c:pt>
                <c:pt idx="1">
                  <c:v>0.98799999999999999</c:v>
                </c:pt>
                <c:pt idx="2">
                  <c:v>0.97199999999999998</c:v>
                </c:pt>
                <c:pt idx="3">
                  <c:v>0.95199999999999996</c:v>
                </c:pt>
                <c:pt idx="4">
                  <c:v>0.92799999999999994</c:v>
                </c:pt>
                <c:pt idx="5">
                  <c:v>0.89999999999999991</c:v>
                </c:pt>
                <c:pt idx="6">
                  <c:v>0.86799999999999988</c:v>
                </c:pt>
                <c:pt idx="7">
                  <c:v>0.83199999999999996</c:v>
                </c:pt>
                <c:pt idx="8">
                  <c:v>0.79200000000000004</c:v>
                </c:pt>
                <c:pt idx="9">
                  <c:v>0.748</c:v>
                </c:pt>
                <c:pt idx="10">
                  <c:v>0.7</c:v>
                </c:pt>
              </c:numCache>
            </c:numRef>
          </c:yVal>
          <c:smooth val="1"/>
        </c:ser>
        <c:ser>
          <c:idx val="1"/>
          <c:order val="1"/>
          <c:tx>
            <c:strRef>
              <c:f>SF!$E$5</c:f>
              <c:strCache>
                <c:ptCount val="1"/>
                <c:pt idx="0">
                  <c:v>A = 10 000 m²</c:v>
                </c:pt>
              </c:strCache>
            </c:strRef>
          </c:tx>
          <c:marker>
            <c:symbol val="none"/>
          </c:marker>
          <c:xVal>
            <c:numRef>
              <c:f>SF!$C$6:$C$16</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SF!$E$6:$E$16</c:f>
              <c:numCache>
                <c:formatCode>General</c:formatCode>
                <c:ptCount val="11"/>
                <c:pt idx="0">
                  <c:v>1</c:v>
                </c:pt>
                <c:pt idx="1">
                  <c:v>0.98199999999999998</c:v>
                </c:pt>
                <c:pt idx="2">
                  <c:v>0.95799999999999996</c:v>
                </c:pt>
                <c:pt idx="3">
                  <c:v>0.92799999999999994</c:v>
                </c:pt>
                <c:pt idx="4">
                  <c:v>0.8919999999999999</c:v>
                </c:pt>
                <c:pt idx="5">
                  <c:v>0.85000000000000009</c:v>
                </c:pt>
                <c:pt idx="6">
                  <c:v>0.80200000000000005</c:v>
                </c:pt>
                <c:pt idx="7">
                  <c:v>0.748</c:v>
                </c:pt>
                <c:pt idx="8">
                  <c:v>0.68799999999999994</c:v>
                </c:pt>
                <c:pt idx="9">
                  <c:v>0.622</c:v>
                </c:pt>
                <c:pt idx="10">
                  <c:v>0.55000000000000004</c:v>
                </c:pt>
              </c:numCache>
            </c:numRef>
          </c:yVal>
          <c:smooth val="1"/>
        </c:ser>
        <c:ser>
          <c:idx val="2"/>
          <c:order val="2"/>
          <c:tx>
            <c:strRef>
              <c:f>SF!$F$5</c:f>
              <c:strCache>
                <c:ptCount val="1"/>
                <c:pt idx="0">
                  <c:v>A = 1 000 m²</c:v>
                </c:pt>
              </c:strCache>
            </c:strRef>
          </c:tx>
          <c:marker>
            <c:symbol val="none"/>
          </c:marker>
          <c:xVal>
            <c:numRef>
              <c:f>SF!$C$6:$C$16</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SF!$F$6:$F$16</c:f>
              <c:numCache>
                <c:formatCode>General</c:formatCode>
                <c:ptCount val="11"/>
                <c:pt idx="0">
                  <c:v>1</c:v>
                </c:pt>
                <c:pt idx="1">
                  <c:v>0.97599999999999998</c:v>
                </c:pt>
                <c:pt idx="2">
                  <c:v>0.94399999999999995</c:v>
                </c:pt>
                <c:pt idx="3">
                  <c:v>0.90399999999999991</c:v>
                </c:pt>
                <c:pt idx="4">
                  <c:v>0.85600000000000009</c:v>
                </c:pt>
                <c:pt idx="5">
                  <c:v>0.8</c:v>
                </c:pt>
                <c:pt idx="6">
                  <c:v>0.73599999999999999</c:v>
                </c:pt>
                <c:pt idx="7">
                  <c:v>0.66399999999999992</c:v>
                </c:pt>
                <c:pt idx="8">
                  <c:v>0.58399999999999996</c:v>
                </c:pt>
                <c:pt idx="9">
                  <c:v>0.49600000000000005</c:v>
                </c:pt>
                <c:pt idx="10">
                  <c:v>0.4</c:v>
                </c:pt>
              </c:numCache>
            </c:numRef>
          </c:yVal>
          <c:smooth val="1"/>
        </c:ser>
        <c:axId val="128817792"/>
        <c:axId val="129155840"/>
      </c:scatterChart>
      <c:valAx>
        <c:axId val="128817792"/>
        <c:scaling>
          <c:orientation val="minMax"/>
          <c:max val="100"/>
          <c:min val="0"/>
        </c:scaling>
        <c:axPos val="b"/>
        <c:title>
          <c:tx>
            <c:rich>
              <a:bodyPr/>
              <a:lstStyle/>
              <a:p>
                <a:pPr>
                  <a:defRPr/>
                </a:pPr>
                <a:r>
                  <a:rPr lang="en-US"/>
                  <a:t>Solar fraction [%]</a:t>
                </a:r>
              </a:p>
            </c:rich>
          </c:tx>
        </c:title>
        <c:numFmt formatCode="General" sourceLinked="1"/>
        <c:tickLblPos val="nextTo"/>
        <c:crossAx val="129155840"/>
        <c:crosses val="autoZero"/>
        <c:crossBetween val="midCat"/>
      </c:valAx>
      <c:valAx>
        <c:axId val="129155840"/>
        <c:scaling>
          <c:orientation val="minMax"/>
          <c:max val="1"/>
          <c:min val="0"/>
        </c:scaling>
        <c:axPos val="l"/>
        <c:majorGridlines/>
        <c:title>
          <c:tx>
            <c:rich>
              <a:bodyPr rot="-5400000" vert="horz"/>
              <a:lstStyle/>
              <a:p>
                <a:pPr>
                  <a:defRPr/>
                </a:pPr>
                <a:r>
                  <a:rPr lang="en-US"/>
                  <a:t>Solar output reduction factor</a:t>
                </a:r>
              </a:p>
            </c:rich>
          </c:tx>
        </c:title>
        <c:numFmt formatCode="#,##0.00" sourceLinked="0"/>
        <c:tickLblPos val="nextTo"/>
        <c:crossAx val="128817792"/>
        <c:crosses val="autoZero"/>
        <c:crossBetween val="midCat"/>
      </c:valAx>
      <c:spPr>
        <a:ln>
          <a:solidFill>
            <a:schemeClr val="tx1">
              <a:lumMod val="50000"/>
              <a:lumOff val="50000"/>
            </a:schemeClr>
          </a:solidFill>
        </a:ln>
      </c:spPr>
    </c:plotArea>
    <c:legend>
      <c:legendPos val="r"/>
    </c:legend>
    <c:plotVisOnly val="1"/>
  </c:chart>
  <c:spPr>
    <a:ln>
      <a:noFill/>
    </a:ln>
  </c:spPr>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da-DK"/>
  <c:chart>
    <c:title>
      <c:tx>
        <c:rich>
          <a:bodyPr/>
          <a:lstStyle/>
          <a:p>
            <a:pPr>
              <a:defRPr/>
            </a:pPr>
            <a:r>
              <a:rPr lang="da-DK"/>
              <a:t>Costs of solar collector field </a:t>
            </a:r>
          </a:p>
          <a:p>
            <a:pPr>
              <a:defRPr/>
            </a:pPr>
            <a:r>
              <a:rPr lang="da-DK"/>
              <a:t>per m² installed</a:t>
            </a:r>
          </a:p>
        </c:rich>
      </c:tx>
    </c:title>
    <c:plotArea>
      <c:layout/>
      <c:scatterChart>
        <c:scatterStyle val="smoothMarker"/>
        <c:ser>
          <c:idx val="0"/>
          <c:order val="0"/>
          <c:spPr>
            <a:ln>
              <a:solidFill>
                <a:srgbClr val="00B050"/>
              </a:solidFill>
            </a:ln>
          </c:spPr>
          <c:marker>
            <c:symbol val="none"/>
          </c:marker>
          <c:xVal>
            <c:numRef>
              <c:f>'Field costs'!$C$6:$C$10</c:f>
              <c:numCache>
                <c:formatCode>_ * #,##0.00_ ;_ * \-#,##0.00_ ;_ * "-"??_ ;_ @_ </c:formatCode>
                <c:ptCount val="5"/>
                <c:pt idx="0">
                  <c:v>2000</c:v>
                </c:pt>
                <c:pt idx="1">
                  <c:v>12500</c:v>
                </c:pt>
                <c:pt idx="2">
                  <c:v>25000</c:v>
                </c:pt>
                <c:pt idx="3">
                  <c:v>37500</c:v>
                </c:pt>
                <c:pt idx="4">
                  <c:v>50000</c:v>
                </c:pt>
              </c:numCache>
            </c:numRef>
          </c:xVal>
          <c:yVal>
            <c:numRef>
              <c:f>'Field costs'!$F$6:$F$10</c:f>
              <c:numCache>
                <c:formatCode>_ * #,##0_ ;_ * \-#,##0_ ;_ * "-"??_ ;_ @_ </c:formatCode>
                <c:ptCount val="5"/>
                <c:pt idx="0">
                  <c:v>233.08800000000002</c:v>
                </c:pt>
                <c:pt idx="1">
                  <c:v>203.62862463421123</c:v>
                </c:pt>
                <c:pt idx="2">
                  <c:v>176</c:v>
                </c:pt>
                <c:pt idx="3">
                  <c:v>159.99999999999997</c:v>
                </c:pt>
                <c:pt idx="4">
                  <c:v>151.46666666666667</c:v>
                </c:pt>
              </c:numCache>
            </c:numRef>
          </c:yVal>
          <c:smooth val="1"/>
        </c:ser>
        <c:ser>
          <c:idx val="2"/>
          <c:order val="1"/>
          <c:spPr>
            <a:ln>
              <a:solidFill>
                <a:srgbClr val="C00000"/>
              </a:solidFill>
            </a:ln>
          </c:spPr>
          <c:marker>
            <c:symbol val="none"/>
          </c:marker>
          <c:xVal>
            <c:numRef>
              <c:f>'Field costs'!$C$6:$C$10</c:f>
              <c:numCache>
                <c:formatCode>_ * #,##0.00_ ;_ * \-#,##0.00_ ;_ * "-"??_ ;_ @_ </c:formatCode>
                <c:ptCount val="5"/>
                <c:pt idx="0">
                  <c:v>2000</c:v>
                </c:pt>
                <c:pt idx="1">
                  <c:v>12500</c:v>
                </c:pt>
                <c:pt idx="2">
                  <c:v>25000</c:v>
                </c:pt>
                <c:pt idx="3">
                  <c:v>37500</c:v>
                </c:pt>
                <c:pt idx="4">
                  <c:v>50000</c:v>
                </c:pt>
              </c:numCache>
            </c:numRef>
          </c:xVal>
          <c:yVal>
            <c:numRef>
              <c:f>'Field costs'!$G$6:$G$10</c:f>
              <c:numCache>
                <c:formatCode>_ * #,##0_ ;_ * \-#,##0_ ;_ * "-"??_ ;_ @_ </c:formatCode>
                <c:ptCount val="5"/>
                <c:pt idx="0">
                  <c:v>349.63200000000001</c:v>
                </c:pt>
                <c:pt idx="1">
                  <c:v>305.44293695131682</c:v>
                </c:pt>
                <c:pt idx="2">
                  <c:v>264</c:v>
                </c:pt>
                <c:pt idx="3">
                  <c:v>239.99999999999997</c:v>
                </c:pt>
                <c:pt idx="4">
                  <c:v>227.20000000000002</c:v>
                </c:pt>
              </c:numCache>
            </c:numRef>
          </c:yVal>
          <c:smooth val="1"/>
        </c:ser>
        <c:ser>
          <c:idx val="1"/>
          <c:order val="2"/>
          <c:marker>
            <c:symbol val="none"/>
          </c:marker>
          <c:trendline>
            <c:trendlineType val="poly"/>
            <c:order val="2"/>
            <c:dispRSqr val="1"/>
            <c:dispEq val="1"/>
            <c:trendlineLbl>
              <c:layout>
                <c:manualLayout>
                  <c:x val="0.1072557718227012"/>
                  <c:y val="0.38870042286380968"/>
                </c:manualLayout>
              </c:layout>
              <c:numFmt formatCode="General" sourceLinked="0"/>
            </c:trendlineLbl>
          </c:trendline>
          <c:xVal>
            <c:numRef>
              <c:f>'Field costs'!$C$6:$C$10</c:f>
              <c:numCache>
                <c:formatCode>_ * #,##0.00_ ;_ * \-#,##0.00_ ;_ * "-"??_ ;_ @_ </c:formatCode>
                <c:ptCount val="5"/>
                <c:pt idx="0">
                  <c:v>2000</c:v>
                </c:pt>
                <c:pt idx="1">
                  <c:v>12500</c:v>
                </c:pt>
                <c:pt idx="2">
                  <c:v>25000</c:v>
                </c:pt>
                <c:pt idx="3">
                  <c:v>37500</c:v>
                </c:pt>
                <c:pt idx="4">
                  <c:v>50000</c:v>
                </c:pt>
              </c:numCache>
            </c:numRef>
          </c:xVal>
          <c:yVal>
            <c:numRef>
              <c:f>'Field costs'!$E$6:$E$10</c:f>
              <c:numCache>
                <c:formatCode>_ * #,##0_ ;_ * \-#,##0_ ;_ * "-"??_ ;_ @_ </c:formatCode>
                <c:ptCount val="5"/>
                <c:pt idx="0">
                  <c:v>291.36</c:v>
                </c:pt>
                <c:pt idx="1">
                  <c:v>254.53578079276403</c:v>
                </c:pt>
                <c:pt idx="2">
                  <c:v>220</c:v>
                </c:pt>
                <c:pt idx="3">
                  <c:v>199.99999999999997</c:v>
                </c:pt>
                <c:pt idx="4">
                  <c:v>189.33333333333334</c:v>
                </c:pt>
              </c:numCache>
            </c:numRef>
          </c:yVal>
          <c:smooth val="1"/>
        </c:ser>
        <c:axId val="133875584"/>
        <c:axId val="126538112"/>
      </c:scatterChart>
      <c:valAx>
        <c:axId val="133875584"/>
        <c:scaling>
          <c:orientation val="minMax"/>
          <c:max val="50000"/>
        </c:scaling>
        <c:axPos val="b"/>
        <c:title>
          <c:tx>
            <c:rich>
              <a:bodyPr/>
              <a:lstStyle/>
              <a:p>
                <a:pPr>
                  <a:defRPr/>
                </a:pPr>
                <a:r>
                  <a:rPr lang="da-DK"/>
                  <a:t>Collectorfield</a:t>
                </a:r>
                <a:r>
                  <a:rPr lang="da-DK" baseline="0"/>
                  <a:t> area in m²</a:t>
                </a:r>
                <a:endParaRPr lang="da-DK"/>
              </a:p>
            </c:rich>
          </c:tx>
        </c:title>
        <c:numFmt formatCode="_ * #,##0.00_ ;_ * \-#,##0.00_ ;_ * &quot;-&quot;??_ ;_ @_ " sourceLinked="1"/>
        <c:tickLblPos val="nextTo"/>
        <c:crossAx val="126538112"/>
        <c:crosses val="autoZero"/>
        <c:crossBetween val="midCat"/>
      </c:valAx>
      <c:valAx>
        <c:axId val="126538112"/>
        <c:scaling>
          <c:orientation val="minMax"/>
        </c:scaling>
        <c:axPos val="l"/>
        <c:majorGridlines/>
        <c:title>
          <c:tx>
            <c:rich>
              <a:bodyPr rot="-5400000" vert="horz"/>
              <a:lstStyle/>
              <a:p>
                <a:pPr>
                  <a:defRPr/>
                </a:pPr>
                <a:r>
                  <a:rPr lang="en-US"/>
                  <a:t>€/m²</a:t>
                </a:r>
              </a:p>
            </c:rich>
          </c:tx>
        </c:title>
        <c:numFmt formatCode="_ * #,##0_ ;_ * \-#,##0_ ;_ * &quot;-&quot;??_ ;_ @_ " sourceLinked="1"/>
        <c:tickLblPos val="nextTo"/>
        <c:crossAx val="133875584"/>
        <c:crosses val="autoZero"/>
        <c:crossBetween val="midCat"/>
      </c:valAx>
      <c:spPr>
        <a:ln>
          <a:solidFill>
            <a:schemeClr val="tx1">
              <a:lumMod val="50000"/>
              <a:lumOff val="50000"/>
            </a:schemeClr>
          </a:solidFill>
        </a:ln>
      </c:spPr>
    </c:plotArea>
    <c:plotVisOnly val="1"/>
  </c:chart>
  <c:spPr>
    <a:ln>
      <a:noFill/>
    </a:ln>
  </c:spPr>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da-DK"/>
  <c:chart>
    <c:plotArea>
      <c:layout/>
      <c:scatterChart>
        <c:scatterStyle val="lineMarker"/>
        <c:ser>
          <c:idx val="0"/>
          <c:order val="0"/>
          <c:spPr>
            <a:ln w="28575">
              <a:noFill/>
            </a:ln>
          </c:spPr>
          <c:trendline>
            <c:trendlineType val="linear"/>
            <c:intercept val="0"/>
            <c:dispEq val="1"/>
            <c:trendlineLbl>
              <c:numFmt formatCode="General" sourceLinked="0"/>
            </c:trendlineLbl>
          </c:trendline>
          <c:xVal>
            <c:numRef>
              <c:f>storage!$C$3:$C$4</c:f>
              <c:numCache>
                <c:formatCode>General</c:formatCode>
                <c:ptCount val="2"/>
                <c:pt idx="0">
                  <c:v>0</c:v>
                </c:pt>
                <c:pt idx="1">
                  <c:v>1</c:v>
                </c:pt>
              </c:numCache>
            </c:numRef>
          </c:xVal>
          <c:yVal>
            <c:numRef>
              <c:f>storage!$D$3:$D$4</c:f>
              <c:numCache>
                <c:formatCode>General</c:formatCode>
                <c:ptCount val="2"/>
                <c:pt idx="0">
                  <c:v>0</c:v>
                </c:pt>
                <c:pt idx="1">
                  <c:v>4</c:v>
                </c:pt>
              </c:numCache>
            </c:numRef>
          </c:yVal>
        </c:ser>
        <c:axId val="132105344"/>
        <c:axId val="132106880"/>
      </c:scatterChart>
      <c:valAx>
        <c:axId val="132105344"/>
        <c:scaling>
          <c:orientation val="minMax"/>
        </c:scaling>
        <c:axPos val="b"/>
        <c:numFmt formatCode="General" sourceLinked="1"/>
        <c:tickLblPos val="nextTo"/>
        <c:crossAx val="132106880"/>
        <c:crosses val="autoZero"/>
        <c:crossBetween val="midCat"/>
      </c:valAx>
      <c:valAx>
        <c:axId val="132106880"/>
        <c:scaling>
          <c:orientation val="minMax"/>
        </c:scaling>
        <c:axPos val="l"/>
        <c:majorGridlines/>
        <c:numFmt formatCode="General" sourceLinked="1"/>
        <c:tickLblPos val="nextTo"/>
        <c:crossAx val="132105344"/>
        <c:crosses val="autoZero"/>
        <c:crossBetween val="midCat"/>
      </c:valAx>
    </c:plotArea>
    <c:plotVisOnly val="1"/>
  </c:chart>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da-DK"/>
  <c:chart>
    <c:plotArea>
      <c:layout/>
      <c:scatterChart>
        <c:scatterStyle val="lineMarker"/>
        <c:ser>
          <c:idx val="0"/>
          <c:order val="0"/>
          <c:tx>
            <c:strRef>
              <c:f>storage!$H$14</c:f>
              <c:strCache>
                <c:ptCount val="1"/>
                <c:pt idx="0">
                  <c:v>Steel tank</c:v>
                </c:pt>
              </c:strCache>
            </c:strRef>
          </c:tx>
          <c:spPr>
            <a:ln w="28575">
              <a:noFill/>
            </a:ln>
          </c:spPr>
          <c:trendline>
            <c:trendlineType val="linear"/>
            <c:dispEq val="1"/>
            <c:trendlineLbl>
              <c:layout>
                <c:manualLayout>
                  <c:x val="-1.4728783902012261E-3"/>
                  <c:y val="-2.3622776319626712E-2"/>
                </c:manualLayout>
              </c:layout>
              <c:numFmt formatCode="General" sourceLinked="0"/>
            </c:trendlineLbl>
          </c:trendline>
          <c:xVal>
            <c:numRef>
              <c:f>storage!$G$15:$G$19</c:f>
              <c:numCache>
                <c:formatCode>General</c:formatCode>
                <c:ptCount val="5"/>
                <c:pt idx="1">
                  <c:v>2000</c:v>
                </c:pt>
                <c:pt idx="2">
                  <c:v>10000</c:v>
                </c:pt>
                <c:pt idx="3">
                  <c:v>50000</c:v>
                </c:pt>
                <c:pt idx="4">
                  <c:v>100000</c:v>
                </c:pt>
              </c:numCache>
            </c:numRef>
          </c:xVal>
          <c:yVal>
            <c:numRef>
              <c:f>storage!$H$15:$H$19</c:f>
              <c:numCache>
                <c:formatCode>General</c:formatCode>
                <c:ptCount val="5"/>
                <c:pt idx="1">
                  <c:v>400000</c:v>
                </c:pt>
                <c:pt idx="2">
                  <c:v>1464000</c:v>
                </c:pt>
              </c:numCache>
            </c:numRef>
          </c:yVal>
        </c:ser>
        <c:ser>
          <c:idx val="1"/>
          <c:order val="1"/>
          <c:tx>
            <c:strRef>
              <c:f>storage!$I$14</c:f>
              <c:strCache>
                <c:ptCount val="1"/>
                <c:pt idx="0">
                  <c:v>Pond / Borehole</c:v>
                </c:pt>
              </c:strCache>
            </c:strRef>
          </c:tx>
          <c:spPr>
            <a:ln w="28575">
              <a:noFill/>
            </a:ln>
          </c:spPr>
          <c:trendline>
            <c:trendlineType val="linear"/>
            <c:dispEq val="1"/>
            <c:trendlineLbl>
              <c:layout>
                <c:manualLayout>
                  <c:x val="0.23252712160979877"/>
                  <c:y val="8.1666302128900983E-2"/>
                </c:manualLayout>
              </c:layout>
              <c:numFmt formatCode="General" sourceLinked="0"/>
            </c:trendlineLbl>
          </c:trendline>
          <c:xVal>
            <c:numRef>
              <c:f>storage!$G$15:$G$19</c:f>
              <c:numCache>
                <c:formatCode>General</c:formatCode>
                <c:ptCount val="5"/>
                <c:pt idx="1">
                  <c:v>2000</c:v>
                </c:pt>
                <c:pt idx="2">
                  <c:v>10000</c:v>
                </c:pt>
                <c:pt idx="3">
                  <c:v>50000</c:v>
                </c:pt>
                <c:pt idx="4">
                  <c:v>100000</c:v>
                </c:pt>
              </c:numCache>
            </c:numRef>
          </c:xVal>
          <c:yVal>
            <c:numRef>
              <c:f>storage!$I$15:$I$19</c:f>
              <c:numCache>
                <c:formatCode>General</c:formatCode>
                <c:ptCount val="5"/>
                <c:pt idx="3">
                  <c:v>1650000</c:v>
                </c:pt>
                <c:pt idx="4">
                  <c:v>2650000</c:v>
                </c:pt>
              </c:numCache>
            </c:numRef>
          </c:yVal>
        </c:ser>
        <c:axId val="133832704"/>
        <c:axId val="133834240"/>
      </c:scatterChart>
      <c:valAx>
        <c:axId val="133832704"/>
        <c:scaling>
          <c:orientation val="minMax"/>
        </c:scaling>
        <c:axPos val="b"/>
        <c:numFmt formatCode="General" sourceLinked="1"/>
        <c:tickLblPos val="nextTo"/>
        <c:crossAx val="133834240"/>
        <c:crosses val="autoZero"/>
        <c:crossBetween val="midCat"/>
      </c:valAx>
      <c:valAx>
        <c:axId val="133834240"/>
        <c:scaling>
          <c:orientation val="minMax"/>
          <c:max val="3000000"/>
        </c:scaling>
        <c:axPos val="l"/>
        <c:majorGridlines/>
        <c:numFmt formatCode="General" sourceLinked="1"/>
        <c:tickLblPos val="nextTo"/>
        <c:crossAx val="133832704"/>
        <c:crosses val="autoZero"/>
        <c:crossBetween val="midCat"/>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18</xdr:row>
      <xdr:rowOff>22528</xdr:rowOff>
    </xdr:from>
    <xdr:to>
      <xdr:col>8</xdr:col>
      <xdr:colOff>713380</xdr:colOff>
      <xdr:row>18</xdr:row>
      <xdr:rowOff>572944</xdr:rowOff>
    </xdr:to>
    <xdr:pic>
      <xdr:nvPicPr>
        <xdr:cNvPr id="5" name="Picture 1" descr="C:\Users\Daniel\Documents\_PlanEnergi\SDH generelt\IEE logo (opdateret)\iee_logo_supportedby_300.jpg"/>
        <xdr:cNvPicPr>
          <a:picLocks noChangeAspect="1"/>
        </xdr:cNvPicPr>
      </xdr:nvPicPr>
      <xdr:blipFill>
        <a:blip xmlns:r="http://schemas.openxmlformats.org/officeDocument/2006/relationships" r:embed="rId1" cstate="print"/>
        <a:srcRect/>
        <a:stretch>
          <a:fillRect/>
        </a:stretch>
      </xdr:blipFill>
      <xdr:spPr bwMode="auto">
        <a:xfrm>
          <a:off x="4972050" y="3137203"/>
          <a:ext cx="2780305" cy="55041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12</xdr:row>
      <xdr:rowOff>161925</xdr:rowOff>
    </xdr:from>
    <xdr:to>
      <xdr:col>7</xdr:col>
      <xdr:colOff>438150</xdr:colOff>
      <xdr:row>27</xdr:row>
      <xdr:rowOff>47625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20</xdr:row>
      <xdr:rowOff>38100</xdr:rowOff>
    </xdr:from>
    <xdr:to>
      <xdr:col>13</xdr:col>
      <xdr:colOff>419100</xdr:colOff>
      <xdr:row>34</xdr:row>
      <xdr:rowOff>114300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12</xdr:row>
      <xdr:rowOff>114300</xdr:rowOff>
    </xdr:from>
    <xdr:to>
      <xdr:col>13</xdr:col>
      <xdr:colOff>381000</xdr:colOff>
      <xdr:row>27</xdr:row>
      <xdr:rowOff>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5</xdr:row>
      <xdr:rowOff>47625</xdr:rowOff>
    </xdr:from>
    <xdr:to>
      <xdr:col>4</xdr:col>
      <xdr:colOff>390525</xdr:colOff>
      <xdr:row>18</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23</xdr:row>
      <xdr:rowOff>0</xdr:rowOff>
    </xdr:from>
    <xdr:to>
      <xdr:col>7</xdr:col>
      <xdr:colOff>409575</xdr:colOff>
      <xdr:row>37</xdr:row>
      <xdr:rowOff>76200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olar-district-heating.eu/Factshee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dimension ref="C1:I19"/>
  <sheetViews>
    <sheetView tabSelected="1" workbookViewId="0">
      <selection activeCell="D34" sqref="D34"/>
    </sheetView>
  </sheetViews>
  <sheetFormatPr defaultRowHeight="15"/>
  <cols>
    <col min="1" max="1" width="1.5703125" style="31" customWidth="1"/>
    <col min="2" max="2" width="2.85546875" style="31" customWidth="1"/>
    <col min="3" max="3" width="20.42578125" style="31" customWidth="1"/>
    <col min="4" max="4" width="32.42578125" style="31" customWidth="1"/>
    <col min="5" max="5" width="3.140625" style="31" customWidth="1"/>
    <col min="6" max="6" width="15.7109375" style="31" customWidth="1"/>
    <col min="7" max="7" width="3.5703125" style="31" customWidth="1"/>
    <col min="8" max="8" width="16.28515625" style="31" customWidth="1"/>
    <col min="9" max="9" width="11" style="31" customWidth="1"/>
    <col min="10" max="16384" width="9.140625" style="31"/>
  </cols>
  <sheetData>
    <row r="1" spans="3:9" ht="31.5">
      <c r="C1" s="56" t="s">
        <v>146</v>
      </c>
      <c r="D1" s="56"/>
      <c r="E1" s="56"/>
      <c r="F1" s="56"/>
      <c r="G1" s="56"/>
      <c r="H1" s="56"/>
      <c r="I1" s="56"/>
    </row>
    <row r="2" spans="3:9" ht="23.25">
      <c r="C2" s="57" t="s">
        <v>145</v>
      </c>
      <c r="D2" s="57"/>
      <c r="E2" s="57"/>
      <c r="F2" s="57"/>
      <c r="G2" s="57"/>
      <c r="H2" s="57"/>
      <c r="I2" s="57"/>
    </row>
    <row r="3" spans="3:9" ht="7.5" customHeight="1">
      <c r="C3" s="9"/>
      <c r="D3" s="8"/>
      <c r="E3" s="8"/>
      <c r="F3" s="8"/>
      <c r="G3" s="8"/>
      <c r="H3" s="8"/>
      <c r="I3" s="8"/>
    </row>
    <row r="4" spans="3:9" s="42" customFormat="1">
      <c r="C4" s="63" t="s">
        <v>124</v>
      </c>
      <c r="D4" s="64"/>
      <c r="E4" s="64"/>
      <c r="F4" s="64"/>
      <c r="G4" s="64"/>
      <c r="H4" s="40" t="s">
        <v>158</v>
      </c>
      <c r="I4" s="41" t="s">
        <v>156</v>
      </c>
    </row>
    <row r="5" spans="3:9" ht="6.75" customHeight="1">
      <c r="C5" s="9"/>
      <c r="D5" s="8"/>
      <c r="E5" s="8"/>
      <c r="F5" s="8"/>
      <c r="G5" s="8"/>
      <c r="H5" s="13"/>
      <c r="I5" s="8"/>
    </row>
    <row r="6" spans="3:9" ht="18.75">
      <c r="C6" s="58" t="s">
        <v>140</v>
      </c>
      <c r="D6" s="59"/>
      <c r="E6" s="59"/>
      <c r="F6" s="59"/>
      <c r="G6" s="59"/>
      <c r="H6" s="59"/>
      <c r="I6" s="60"/>
    </row>
    <row r="7" spans="3:9" ht="3.75" customHeight="1">
      <c r="C7" s="32"/>
      <c r="D7" s="33"/>
      <c r="E7" s="33"/>
      <c r="F7" s="33"/>
      <c r="G7" s="33"/>
      <c r="H7" s="33"/>
      <c r="I7" s="34"/>
    </row>
    <row r="8" spans="3:9" ht="15" customHeight="1">
      <c r="C8" s="32" t="s">
        <v>144</v>
      </c>
      <c r="D8" s="33"/>
      <c r="E8" s="33"/>
      <c r="F8" s="33"/>
      <c r="G8" s="33"/>
      <c r="H8" s="33"/>
      <c r="I8" s="34"/>
    </row>
    <row r="9" spans="3:9" ht="15" customHeight="1">
      <c r="C9" s="32" t="s">
        <v>142</v>
      </c>
      <c r="D9" s="33"/>
      <c r="E9" s="33"/>
      <c r="F9" s="33"/>
      <c r="G9" s="33"/>
      <c r="H9" s="33"/>
      <c r="I9" s="34"/>
    </row>
    <row r="10" spans="3:9" ht="15" customHeight="1">
      <c r="C10" s="32" t="s">
        <v>143</v>
      </c>
      <c r="D10" s="33"/>
      <c r="E10" s="33"/>
      <c r="F10" s="33"/>
      <c r="G10" s="33"/>
      <c r="H10" s="33"/>
      <c r="I10" s="34"/>
    </row>
    <row r="11" spans="3:9">
      <c r="C11" s="32" t="s">
        <v>136</v>
      </c>
      <c r="D11" s="33"/>
      <c r="E11" s="33"/>
      <c r="F11" s="33"/>
      <c r="G11" s="33"/>
      <c r="H11" s="33"/>
      <c r="I11" s="34"/>
    </row>
    <row r="12" spans="3:9">
      <c r="C12" s="32" t="s">
        <v>137</v>
      </c>
      <c r="D12" s="33"/>
      <c r="E12" s="33"/>
      <c r="F12" s="33"/>
      <c r="G12" s="33"/>
      <c r="H12" s="33"/>
      <c r="I12" s="34"/>
    </row>
    <row r="13" spans="3:9">
      <c r="C13" s="32" t="s">
        <v>139</v>
      </c>
      <c r="D13" s="33"/>
      <c r="E13" s="33"/>
      <c r="F13" s="33"/>
      <c r="G13" s="33"/>
      <c r="H13" s="33"/>
      <c r="I13" s="34"/>
    </row>
    <row r="14" spans="3:9">
      <c r="C14" s="32" t="s">
        <v>138</v>
      </c>
      <c r="D14" s="33"/>
      <c r="E14" s="33"/>
      <c r="F14" s="33"/>
      <c r="G14" s="33"/>
      <c r="H14" s="33"/>
      <c r="I14" s="34"/>
    </row>
    <row r="15" spans="3:9">
      <c r="C15" s="32" t="s">
        <v>157</v>
      </c>
      <c r="D15" s="33"/>
      <c r="E15" s="33"/>
      <c r="F15" s="33"/>
      <c r="G15" s="33"/>
      <c r="H15" s="33"/>
      <c r="I15" s="34"/>
    </row>
    <row r="16" spans="3:9">
      <c r="C16" s="47" t="s">
        <v>160</v>
      </c>
      <c r="D16" s="68"/>
      <c r="E16" s="48" t="s">
        <v>159</v>
      </c>
      <c r="F16" s="49"/>
      <c r="G16" s="49"/>
      <c r="H16" s="49"/>
      <c r="I16" s="50"/>
    </row>
    <row r="17" spans="3:9" ht="3.75" customHeight="1">
      <c r="C17" s="35"/>
      <c r="D17" s="36"/>
      <c r="E17" s="36"/>
      <c r="F17" s="36"/>
      <c r="G17" s="36"/>
      <c r="H17" s="36"/>
      <c r="I17" s="37"/>
    </row>
    <row r="18" spans="3:9" ht="3.75" customHeight="1"/>
    <row r="19" spans="3:9" ht="46.5" customHeight="1">
      <c r="C19" s="61" t="s">
        <v>141</v>
      </c>
      <c r="D19" s="62"/>
      <c r="E19" s="62"/>
      <c r="F19" s="38"/>
      <c r="G19" s="38"/>
      <c r="H19" s="38"/>
      <c r="I19" s="39"/>
    </row>
  </sheetData>
  <sheetProtection password="CF75" sheet="1" objects="1" scenarios="1" selectLockedCells="1" selectUnlockedCells="1"/>
  <mergeCells count="5">
    <mergeCell ref="C1:I1"/>
    <mergeCell ref="C2:I2"/>
    <mergeCell ref="C6:I6"/>
    <mergeCell ref="C19:E19"/>
    <mergeCell ref="C4:G4"/>
  </mergeCells>
  <hyperlinks>
    <hyperlink ref="E16" r:id="rId1"/>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sheetPr codeName="Ark1"/>
  <dimension ref="C1:V74"/>
  <sheetViews>
    <sheetView zoomScale="80" zoomScaleNormal="80" workbookViewId="0">
      <selection activeCell="C61" sqref="C61"/>
    </sheetView>
  </sheetViews>
  <sheetFormatPr defaultRowHeight="15"/>
  <cols>
    <col min="1" max="1" width="1.7109375" style="8" customWidth="1"/>
    <col min="2" max="2" width="2.7109375" style="8" customWidth="1"/>
    <col min="3" max="3" width="13" style="16" customWidth="1"/>
    <col min="4" max="4" width="55.140625" style="8" customWidth="1"/>
    <col min="5" max="5" width="2.7109375" style="8" customWidth="1"/>
    <col min="6" max="6" width="17.85546875" style="8" customWidth="1"/>
    <col min="7" max="7" width="1.5703125" style="8" customWidth="1"/>
    <col min="8" max="8" width="19.42578125" style="8" customWidth="1"/>
    <col min="9" max="9" width="14.85546875" style="8" customWidth="1"/>
    <col min="10" max="10" width="5.85546875" style="43" customWidth="1"/>
    <col min="11" max="11" width="8.42578125" style="43" customWidth="1"/>
    <col min="12" max="12" width="10" style="43" bestFit="1" customWidth="1"/>
    <col min="13" max="13" width="55.140625" style="43" bestFit="1" customWidth="1"/>
    <col min="14" max="14" width="0.85546875" style="43" customWidth="1"/>
    <col min="15" max="15" width="7.7109375" style="52" bestFit="1" customWidth="1"/>
    <col min="16" max="16" width="8.42578125" style="52" bestFit="1" customWidth="1"/>
    <col min="17" max="17" width="8.85546875" style="52" bestFit="1" customWidth="1"/>
    <col min="18" max="18" width="7.5703125" style="52" customWidth="1"/>
    <col min="19" max="19" width="16" style="52" bestFit="1" customWidth="1"/>
    <col min="20" max="20" width="7.7109375" style="52" bestFit="1" customWidth="1"/>
    <col min="21" max="21" width="4.42578125" style="52" bestFit="1" customWidth="1"/>
    <col min="22" max="22" width="9.7109375" style="52" bestFit="1" customWidth="1"/>
    <col min="23" max="16384" width="9.140625" style="8"/>
  </cols>
  <sheetData>
    <row r="1" spans="3:22" ht="30" customHeight="1">
      <c r="C1" s="56" t="s">
        <v>146</v>
      </c>
      <c r="D1" s="56"/>
      <c r="E1" s="56"/>
      <c r="F1" s="56"/>
      <c r="G1" s="56"/>
      <c r="H1" s="56"/>
      <c r="I1" s="56"/>
    </row>
    <row r="2" spans="3:22" ht="23.25">
      <c r="C2" s="57" t="s">
        <v>145</v>
      </c>
      <c r="D2" s="57"/>
      <c r="E2" s="57"/>
      <c r="F2" s="57"/>
      <c r="G2" s="57"/>
      <c r="H2" s="57"/>
      <c r="I2" s="57"/>
    </row>
    <row r="3" spans="3:22" ht="6.75" customHeight="1">
      <c r="C3" s="9"/>
    </row>
    <row r="4" spans="3:22">
      <c r="C4" s="67" t="str">
        <f>+Intro!C4</f>
        <v>J.E.Nielsen, PlanEnergi</v>
      </c>
      <c r="D4" s="67"/>
      <c r="G4" s="10"/>
      <c r="H4" s="11" t="str">
        <f>+Intro!H4</f>
        <v>version 0.8</v>
      </c>
      <c r="I4" s="12" t="str">
        <f>+Intro!I4</f>
        <v>21/9 2012</v>
      </c>
    </row>
    <row r="5" spans="3:22" ht="3.75" customHeight="1">
      <c r="C5" s="9"/>
      <c r="H5" s="13"/>
    </row>
    <row r="6" spans="3:22" ht="18.75">
      <c r="C6" s="66" t="s">
        <v>129</v>
      </c>
      <c r="D6" s="66"/>
      <c r="E6" s="66"/>
      <c r="F6" s="66"/>
      <c r="G6" s="66"/>
      <c r="H6" s="66"/>
      <c r="I6" s="66"/>
      <c r="K6" s="44"/>
      <c r="L6" s="44"/>
    </row>
    <row r="7" spans="3:22" ht="15.75" customHeight="1">
      <c r="C7" s="14" t="s">
        <v>131</v>
      </c>
      <c r="D7" s="15" t="s">
        <v>49</v>
      </c>
      <c r="E7" s="15"/>
      <c r="F7" s="15" t="s">
        <v>28</v>
      </c>
      <c r="G7" s="15"/>
      <c r="H7" s="15" t="s">
        <v>125</v>
      </c>
      <c r="I7" s="15" t="s">
        <v>50</v>
      </c>
      <c r="L7" s="43" t="s">
        <v>48</v>
      </c>
      <c r="M7" s="43" t="s">
        <v>20</v>
      </c>
      <c r="O7" s="65" t="s">
        <v>51</v>
      </c>
      <c r="P7" s="65"/>
      <c r="Q7" s="65"/>
      <c r="T7" s="51"/>
      <c r="U7" s="51"/>
      <c r="V7" s="51" t="s">
        <v>33</v>
      </c>
    </row>
    <row r="8" spans="3:22" ht="3.75" customHeight="1">
      <c r="T8" s="51"/>
      <c r="U8" s="51"/>
      <c r="V8" s="51"/>
    </row>
    <row r="9" spans="3:22" ht="15.75" customHeight="1">
      <c r="C9" s="16" t="s">
        <v>27</v>
      </c>
      <c r="D9" s="8" t="s">
        <v>52</v>
      </c>
      <c r="F9" s="25">
        <v>20000</v>
      </c>
      <c r="H9" s="17">
        <f>+F9</f>
        <v>20000</v>
      </c>
      <c r="I9" s="8" t="s">
        <v>43</v>
      </c>
      <c r="L9" s="43" t="s">
        <v>53</v>
      </c>
      <c r="T9" s="51" t="s">
        <v>27</v>
      </c>
      <c r="U9" s="51"/>
      <c r="V9" s="51"/>
    </row>
    <row r="10" spans="3:22" ht="3.75" customHeight="1">
      <c r="T10" s="51" t="s">
        <v>33</v>
      </c>
      <c r="U10" s="51"/>
      <c r="V10" s="51"/>
    </row>
    <row r="11" spans="3:22" ht="15.75" customHeight="1">
      <c r="C11" s="16" t="s">
        <v>27</v>
      </c>
      <c r="D11" s="8" t="s">
        <v>126</v>
      </c>
      <c r="F11" s="26">
        <v>1000</v>
      </c>
      <c r="H11" s="17">
        <f>+F11</f>
        <v>1000</v>
      </c>
      <c r="I11" s="8" t="s">
        <v>14</v>
      </c>
      <c r="L11" s="43" t="s">
        <v>21</v>
      </c>
      <c r="T11" s="51"/>
      <c r="U11" s="51"/>
      <c r="V11" s="51"/>
    </row>
    <row r="12" spans="3:22" ht="3.75" customHeight="1">
      <c r="F12" s="18"/>
      <c r="H12" s="18"/>
      <c r="T12" s="51"/>
      <c r="U12" s="51"/>
      <c r="V12" s="51"/>
    </row>
    <row r="13" spans="3:22" ht="15.75" customHeight="1">
      <c r="C13" s="16" t="s">
        <v>27</v>
      </c>
      <c r="D13" s="8" t="s">
        <v>12</v>
      </c>
      <c r="F13" s="27">
        <v>30000</v>
      </c>
      <c r="H13" s="17">
        <f>+F13</f>
        <v>30000</v>
      </c>
      <c r="I13" s="8" t="s">
        <v>15</v>
      </c>
      <c r="L13" s="43" t="s">
        <v>22</v>
      </c>
    </row>
    <row r="14" spans="3:22" ht="3.75" customHeight="1">
      <c r="F14" s="18"/>
      <c r="H14" s="18"/>
    </row>
    <row r="15" spans="3:22" ht="15.75" customHeight="1">
      <c r="C15" s="16" t="s">
        <v>27</v>
      </c>
      <c r="D15" s="8" t="s">
        <v>23</v>
      </c>
      <c r="F15" s="27">
        <v>5</v>
      </c>
      <c r="H15" s="17">
        <f>+F15</f>
        <v>5</v>
      </c>
      <c r="I15" s="8" t="s">
        <v>16</v>
      </c>
      <c r="L15" s="43" t="s">
        <v>153</v>
      </c>
    </row>
    <row r="16" spans="3:22" ht="3.75" customHeight="1">
      <c r="F16" s="18"/>
      <c r="H16" s="18"/>
    </row>
    <row r="17" spans="3:17" ht="15.75" customHeight="1">
      <c r="C17" s="16" t="s">
        <v>27</v>
      </c>
      <c r="D17" s="8" t="s">
        <v>13</v>
      </c>
      <c r="F17" s="28">
        <v>0.5</v>
      </c>
      <c r="H17" s="19">
        <f>+F17</f>
        <v>0.5</v>
      </c>
      <c r="I17" s="8" t="s">
        <v>17</v>
      </c>
      <c r="L17" s="43" t="s">
        <v>24</v>
      </c>
    </row>
    <row r="18" spans="3:17" ht="3.75" customHeight="1">
      <c r="F18" s="18"/>
      <c r="H18" s="18"/>
      <c r="O18" s="53"/>
    </row>
    <row r="19" spans="3:17" ht="15.75" customHeight="1">
      <c r="C19" s="16" t="s">
        <v>27</v>
      </c>
      <c r="D19" s="8" t="s">
        <v>10</v>
      </c>
      <c r="F19" s="27">
        <v>60</v>
      </c>
      <c r="H19" s="17">
        <f>+F19</f>
        <v>60</v>
      </c>
      <c r="I19" s="8" t="s">
        <v>11</v>
      </c>
      <c r="L19" s="43" t="s">
        <v>44</v>
      </c>
      <c r="O19" s="53"/>
    </row>
    <row r="20" spans="3:17" ht="3.75" customHeight="1">
      <c r="F20" s="20"/>
      <c r="H20" s="20"/>
    </row>
    <row r="21" spans="3:17" ht="15.75" customHeight="1">
      <c r="C21" s="16" t="s">
        <v>27</v>
      </c>
      <c r="D21" s="8" t="s">
        <v>155</v>
      </c>
      <c r="F21" s="29">
        <v>60</v>
      </c>
      <c r="H21" s="17">
        <f>+F21</f>
        <v>60</v>
      </c>
      <c r="I21" s="8" t="s">
        <v>112</v>
      </c>
      <c r="L21" s="43" t="s">
        <v>111</v>
      </c>
    </row>
    <row r="22" spans="3:17" ht="3.75" customHeight="1">
      <c r="F22" s="18"/>
      <c r="H22" s="18"/>
    </row>
    <row r="23" spans="3:17" ht="15.75" customHeight="1">
      <c r="C23" s="66" t="s">
        <v>128</v>
      </c>
      <c r="D23" s="66"/>
      <c r="E23" s="66"/>
      <c r="F23" s="66"/>
      <c r="G23" s="66"/>
      <c r="H23" s="66"/>
      <c r="I23" s="66"/>
      <c r="K23" s="44"/>
      <c r="L23" s="44"/>
    </row>
    <row r="24" spans="3:17" ht="15.75" customHeight="1">
      <c r="C24" s="14" t="s">
        <v>131</v>
      </c>
      <c r="D24" s="15" t="s">
        <v>49</v>
      </c>
      <c r="E24" s="15"/>
      <c r="F24" s="15" t="s">
        <v>28</v>
      </c>
      <c r="G24" s="15"/>
      <c r="H24" s="15" t="s">
        <v>125</v>
      </c>
      <c r="I24" s="15" t="s">
        <v>50</v>
      </c>
      <c r="L24" s="43" t="s">
        <v>48</v>
      </c>
      <c r="M24" s="43" t="s">
        <v>20</v>
      </c>
      <c r="O24" s="65" t="s">
        <v>51</v>
      </c>
      <c r="P24" s="65"/>
      <c r="Q24" s="65"/>
    </row>
    <row r="25" spans="3:17" ht="3.75" customHeight="1">
      <c r="F25" s="18"/>
      <c r="H25" s="18"/>
    </row>
    <row r="26" spans="3:17" ht="15.75" customHeight="1">
      <c r="C26" s="30" t="s">
        <v>33</v>
      </c>
      <c r="D26" s="21" t="s">
        <v>54</v>
      </c>
      <c r="F26" s="27">
        <v>0</v>
      </c>
      <c r="H26" s="17">
        <f>+IF(C26=$V$7,MIN(Aland/3,Prod/0.5),F26)</f>
        <v>10000</v>
      </c>
      <c r="I26" s="8" t="s">
        <v>15</v>
      </c>
      <c r="L26" s="43" t="s">
        <v>25</v>
      </c>
      <c r="M26" s="43" t="s">
        <v>149</v>
      </c>
    </row>
    <row r="27" spans="3:17" ht="3.75" customHeight="1">
      <c r="F27" s="18"/>
      <c r="H27" s="18"/>
    </row>
    <row r="28" spans="3:17" ht="15.75" customHeight="1">
      <c r="C28" s="30" t="s">
        <v>33</v>
      </c>
      <c r="D28" s="21" t="s">
        <v>150</v>
      </c>
      <c r="F28" s="27">
        <v>0</v>
      </c>
      <c r="H28" s="17">
        <f>+IF(C28=$V$7,Ac*3,F28)</f>
        <v>30000</v>
      </c>
      <c r="I28" s="8" t="s">
        <v>15</v>
      </c>
      <c r="L28" s="43" t="s">
        <v>151</v>
      </c>
      <c r="M28" s="43" t="s">
        <v>152</v>
      </c>
    </row>
    <row r="29" spans="3:17" ht="3.75" customHeight="1">
      <c r="F29" s="18"/>
      <c r="H29" s="18"/>
    </row>
    <row r="30" spans="3:17" ht="15.75" customHeight="1">
      <c r="C30" s="30" t="s">
        <v>33</v>
      </c>
      <c r="D30" s="21" t="s">
        <v>60</v>
      </c>
      <c r="F30" s="27">
        <v>0</v>
      </c>
      <c r="H30" s="17">
        <f>+IF(C30=$V$7,Vs_Ac*Ac,F30)</f>
        <v>3575.5818974999988</v>
      </c>
      <c r="I30" s="8" t="s">
        <v>81</v>
      </c>
      <c r="L30" s="43" t="s">
        <v>80</v>
      </c>
      <c r="M30" s="43" t="s">
        <v>82</v>
      </c>
    </row>
    <row r="31" spans="3:17" ht="3.75" customHeight="1">
      <c r="F31" s="20"/>
      <c r="H31" s="20"/>
    </row>
    <row r="32" spans="3:17" ht="15.75" customHeight="1">
      <c r="C32" s="16" t="s">
        <v>33</v>
      </c>
      <c r="D32" s="21" t="s">
        <v>103</v>
      </c>
      <c r="H32" s="19">
        <f>+Pm+Pdo+Subtot</f>
        <v>3.8137440096618871</v>
      </c>
      <c r="I32" s="8" t="s">
        <v>113</v>
      </c>
      <c r="L32" s="43" t="s">
        <v>106</v>
      </c>
      <c r="M32" s="43" t="s">
        <v>118</v>
      </c>
    </row>
    <row r="33" spans="3:20" ht="3.75" customHeight="1">
      <c r="F33" s="20"/>
      <c r="H33" s="20"/>
    </row>
    <row r="34" spans="3:20" ht="15.75" customHeight="1">
      <c r="C34" s="16" t="s">
        <v>33</v>
      </c>
      <c r="D34" s="21" t="s">
        <v>104</v>
      </c>
      <c r="H34" s="17">
        <f>+IF(Ac&gt;0,Itot/(Pheat*Qsol2-Pop*1000000)*1000000,0)</f>
        <v>16.169161221189924</v>
      </c>
      <c r="I34" s="8" t="s">
        <v>114</v>
      </c>
      <c r="L34" s="43" t="s">
        <v>105</v>
      </c>
    </row>
    <row r="35" spans="3:20" ht="3.75" customHeight="1">
      <c r="F35" s="20"/>
      <c r="H35" s="20"/>
    </row>
    <row r="36" spans="3:20" ht="15.75" customHeight="1">
      <c r="C36" s="66" t="s">
        <v>130</v>
      </c>
      <c r="D36" s="66"/>
      <c r="E36" s="66"/>
      <c r="F36" s="66"/>
      <c r="G36" s="66"/>
      <c r="H36" s="66"/>
      <c r="I36" s="66"/>
      <c r="K36" s="44"/>
      <c r="L36" s="44"/>
    </row>
    <row r="37" spans="3:20" ht="15.75" customHeight="1">
      <c r="C37" s="14" t="s">
        <v>131</v>
      </c>
      <c r="D37" s="15" t="s">
        <v>49</v>
      </c>
      <c r="E37" s="15"/>
      <c r="F37" s="15" t="s">
        <v>28</v>
      </c>
      <c r="G37" s="15"/>
      <c r="H37" s="15" t="s">
        <v>125</v>
      </c>
      <c r="I37" s="15" t="s">
        <v>50</v>
      </c>
      <c r="L37" s="43" t="s">
        <v>48</v>
      </c>
    </row>
    <row r="38" spans="3:20" ht="3.75" customHeight="1">
      <c r="F38" s="18"/>
      <c r="H38" s="18"/>
    </row>
    <row r="39" spans="3:20" ht="15.75" customHeight="1">
      <c r="C39" s="30" t="s">
        <v>33</v>
      </c>
      <c r="D39" s="8" t="s">
        <v>18</v>
      </c>
      <c r="F39" s="28">
        <v>0</v>
      </c>
      <c r="H39" s="19">
        <f>+IF(C39=$V$7,Alanduse*pland/1000000,F39)</f>
        <v>0.15</v>
      </c>
      <c r="I39" s="8" t="s">
        <v>19</v>
      </c>
      <c r="L39" s="43" t="s">
        <v>109</v>
      </c>
      <c r="M39" s="43" t="s">
        <v>154</v>
      </c>
    </row>
    <row r="40" spans="3:20" ht="3.75" customHeight="1">
      <c r="F40" s="18"/>
      <c r="H40" s="18"/>
    </row>
    <row r="41" spans="3:20" ht="15.75" customHeight="1">
      <c r="C41" s="30" t="s">
        <v>33</v>
      </c>
      <c r="D41" s="8" t="s">
        <v>38</v>
      </c>
      <c r="F41" s="28">
        <v>0</v>
      </c>
      <c r="H41" s="19">
        <f>IF(C41=V7,(100/Ac+0.128/SQRT(Ac))*Dloc*100,F41)</f>
        <v>0.56400000000000006</v>
      </c>
      <c r="I41" s="8" t="s">
        <v>132</v>
      </c>
      <c r="L41" s="43" t="s">
        <v>39</v>
      </c>
      <c r="M41" s="43" t="s">
        <v>147</v>
      </c>
      <c r="O41" s="53"/>
    </row>
    <row r="42" spans="3:20" ht="3.75" customHeight="1">
      <c r="F42" s="18"/>
      <c r="H42" s="18"/>
    </row>
    <row r="43" spans="3:20" ht="15.75" customHeight="1">
      <c r="C43" s="30" t="s">
        <v>33</v>
      </c>
      <c r="D43" s="8" t="s">
        <v>34</v>
      </c>
      <c r="F43" s="28">
        <v>0</v>
      </c>
      <c r="H43" s="19">
        <f>IF(C43=$V$7,2600*SQRT(Ac)*Dloc/1000000,F43)</f>
        <v>0.13</v>
      </c>
      <c r="I43" s="8" t="s">
        <v>19</v>
      </c>
      <c r="L43" s="43" t="s">
        <v>110</v>
      </c>
      <c r="M43" s="43" t="s">
        <v>148</v>
      </c>
      <c r="O43" s="52" t="s">
        <v>32</v>
      </c>
    </row>
    <row r="44" spans="3:20" ht="3.75" customHeight="1">
      <c r="F44" s="18"/>
      <c r="H44" s="18"/>
      <c r="O44" s="52" t="s">
        <v>31</v>
      </c>
      <c r="P44" s="52" t="s">
        <v>30</v>
      </c>
      <c r="Q44" s="52" t="s">
        <v>29</v>
      </c>
    </row>
    <row r="45" spans="3:20" ht="15.75" customHeight="1">
      <c r="C45" s="30" t="s">
        <v>33</v>
      </c>
      <c r="D45" s="8" t="s">
        <v>91</v>
      </c>
      <c r="F45" s="28">
        <v>0</v>
      </c>
      <c r="H45" s="17">
        <f>+IF(C45=$V$7,MAX(200,(+T45+S45*LN(Ac))/7.5),F45)</f>
        <v>242.67467464689236</v>
      </c>
      <c r="I45" s="8" t="s">
        <v>16</v>
      </c>
      <c r="L45" s="43" t="s">
        <v>26</v>
      </c>
      <c r="M45" s="43" t="s">
        <v>32</v>
      </c>
      <c r="O45" s="52">
        <v>299.44</v>
      </c>
      <c r="P45" s="52">
        <v>-4.1000000000000003E-3</v>
      </c>
      <c r="Q45" s="54">
        <v>3.8000000000000003E-8</v>
      </c>
      <c r="S45" s="52">
        <v>-323</v>
      </c>
      <c r="T45" s="52">
        <v>4795</v>
      </c>
    </row>
    <row r="46" spans="3:20" ht="3.75" customHeight="1">
      <c r="F46" s="18"/>
      <c r="H46" s="18"/>
    </row>
    <row r="47" spans="3:20" ht="15.75" customHeight="1">
      <c r="C47" s="30" t="s">
        <v>33</v>
      </c>
      <c r="D47" s="8" t="s">
        <v>92</v>
      </c>
      <c r="F47" s="28">
        <v>0</v>
      </c>
      <c r="H47" s="19">
        <f>+IF(C47=$V$7,pc*Ac/1000000,F47)</f>
        <v>2.4267467464689236</v>
      </c>
      <c r="I47" s="8" t="s">
        <v>19</v>
      </c>
      <c r="L47" s="43" t="s">
        <v>98</v>
      </c>
      <c r="M47" s="43" t="s">
        <v>35</v>
      </c>
    </row>
    <row r="48" spans="3:20" ht="3.75" customHeight="1">
      <c r="F48" s="18"/>
      <c r="H48" s="18"/>
      <c r="O48" s="52" t="s">
        <v>46</v>
      </c>
    </row>
    <row r="49" spans="3:22" ht="15.75" customHeight="1">
      <c r="C49" s="30" t="s">
        <v>33</v>
      </c>
      <c r="D49" s="8" t="s">
        <v>45</v>
      </c>
      <c r="F49" s="28">
        <v>0</v>
      </c>
      <c r="H49" s="17">
        <f>IF(C49=$V$7,cQsol*G0*Ac/1000,F49)</f>
        <v>5000</v>
      </c>
      <c r="I49" s="8" t="s">
        <v>43</v>
      </c>
      <c r="L49" s="43" t="s">
        <v>40</v>
      </c>
      <c r="M49" s="43" t="s">
        <v>47</v>
      </c>
      <c r="O49" s="53">
        <v>0.5</v>
      </c>
    </row>
    <row r="50" spans="3:22" ht="3.75" customHeight="1">
      <c r="O50" s="53" t="s">
        <v>73</v>
      </c>
      <c r="P50" s="52" t="s">
        <v>74</v>
      </c>
      <c r="Q50" s="52" t="s">
        <v>75</v>
      </c>
    </row>
    <row r="51" spans="3:22" ht="15.75" customHeight="1">
      <c r="C51" s="30" t="s">
        <v>33</v>
      </c>
      <c r="D51" s="8" t="s">
        <v>36</v>
      </c>
      <c r="F51" s="28">
        <v>0</v>
      </c>
      <c r="H51" s="17">
        <f>IF(C51=$V$7,(cRT0+cRT1_*Top+cRT2_*Top^2)*Qsol0,F51)</f>
        <v>4272.9999999999991</v>
      </c>
      <c r="I51" s="8" t="s">
        <v>43</v>
      </c>
      <c r="L51" s="43" t="s">
        <v>41</v>
      </c>
      <c r="M51" s="43" t="s">
        <v>76</v>
      </c>
      <c r="O51" s="52">
        <v>2</v>
      </c>
      <c r="P51" s="52">
        <v>-2.4400000000000002E-2</v>
      </c>
      <c r="Q51" s="54">
        <v>8.8499999999999996E-5</v>
      </c>
    </row>
    <row r="52" spans="3:22" ht="3.75" customHeight="1">
      <c r="F52" s="18"/>
      <c r="H52" s="18"/>
    </row>
    <row r="53" spans="3:22" ht="15.75" customHeight="1">
      <c r="C53" s="30" t="s">
        <v>33</v>
      </c>
      <c r="D53" s="8" t="s">
        <v>37</v>
      </c>
      <c r="F53" s="28">
        <v>0</v>
      </c>
      <c r="H53" s="17">
        <f>+IF(C53=$V$7,Qsol1*(1-Qtrans/100),F53)</f>
        <v>4248.9002799999989</v>
      </c>
      <c r="I53" s="8" t="s">
        <v>43</v>
      </c>
      <c r="L53" s="43" t="s">
        <v>42</v>
      </c>
      <c r="M53" s="43" t="s">
        <v>55</v>
      </c>
    </row>
    <row r="54" spans="3:22" ht="3.75" customHeight="1">
      <c r="F54" s="18"/>
      <c r="H54" s="18"/>
    </row>
    <row r="55" spans="3:22" ht="15.75" customHeight="1">
      <c r="C55" s="16" t="s">
        <v>33</v>
      </c>
      <c r="D55" s="8" t="s">
        <v>56</v>
      </c>
      <c r="H55" s="22">
        <f>+Qsol2/Prod</f>
        <v>0.21244501399999996</v>
      </c>
      <c r="I55" s="23" t="s">
        <v>58</v>
      </c>
      <c r="J55" s="45"/>
      <c r="K55" s="45"/>
      <c r="L55" s="43" t="s">
        <v>57</v>
      </c>
      <c r="M55" s="43" t="s">
        <v>59</v>
      </c>
    </row>
    <row r="56" spans="3:22" ht="3.75" customHeight="1">
      <c r="F56" s="18"/>
      <c r="H56" s="18"/>
      <c r="O56" s="52" t="s">
        <v>72</v>
      </c>
    </row>
    <row r="57" spans="3:22" ht="15.75" customHeight="1">
      <c r="C57" s="30" t="s">
        <v>33</v>
      </c>
      <c r="D57" s="8" t="s">
        <v>78</v>
      </c>
      <c r="F57" s="28">
        <v>0</v>
      </c>
      <c r="H57" s="19">
        <f>IF(C57=$V$7,IF(SF&lt;0.2,SF*1.5,SF*4.625-0.625),F57)</f>
        <v>0.35755818974999987</v>
      </c>
      <c r="I57" s="8" t="s">
        <v>77</v>
      </c>
      <c r="L57" s="43" t="s">
        <v>79</v>
      </c>
      <c r="M57" s="43" t="s">
        <v>90</v>
      </c>
    </row>
    <row r="58" spans="3:22" ht="3.75" customHeight="1">
      <c r="F58" s="18"/>
      <c r="H58" s="18"/>
      <c r="T58" s="52" t="s">
        <v>85</v>
      </c>
      <c r="U58" s="52" t="s">
        <v>86</v>
      </c>
      <c r="V58" s="52" t="s">
        <v>88</v>
      </c>
    </row>
    <row r="59" spans="3:22" ht="15.75" customHeight="1">
      <c r="C59" s="30" t="s">
        <v>33</v>
      </c>
      <c r="D59" s="8" t="s">
        <v>83</v>
      </c>
      <c r="F59" s="28" t="s">
        <v>87</v>
      </c>
      <c r="H59" s="17" t="str">
        <f>IF(C59=$V$7,IF(Vs=0,S60,IF(C59=S59,IF(Vs&lt;=10000,S61,"Pond/Borehole"),C59)),F59)</f>
        <v>Steel tank</v>
      </c>
      <c r="I59" s="23" t="s">
        <v>58</v>
      </c>
      <c r="J59" s="45"/>
      <c r="K59" s="45"/>
      <c r="L59" s="43" t="s">
        <v>84</v>
      </c>
      <c r="M59" s="43" t="s">
        <v>133</v>
      </c>
      <c r="S59" s="52" t="s">
        <v>33</v>
      </c>
    </row>
    <row r="60" spans="3:22" ht="3.75" customHeight="1">
      <c r="F60" s="18"/>
      <c r="H60" s="18"/>
      <c r="S60" s="52" t="s">
        <v>87</v>
      </c>
    </row>
    <row r="61" spans="3:22" ht="15.75" customHeight="1">
      <c r="C61" s="30" t="s">
        <v>33</v>
      </c>
      <c r="D61" s="8" t="s">
        <v>127</v>
      </c>
      <c r="F61" s="28">
        <v>0</v>
      </c>
      <c r="H61" s="19">
        <f>+IF(C61=$V$7,IF(H59=S60,0,IF(H59=S61,px_steel,px_pond))/1000000,F61)</f>
        <v>0.60955239236749992</v>
      </c>
      <c r="I61" s="8" t="s">
        <v>19</v>
      </c>
      <c r="L61" s="43" t="s">
        <v>97</v>
      </c>
      <c r="M61" s="43" t="s">
        <v>134</v>
      </c>
      <c r="S61" s="52" t="s">
        <v>63</v>
      </c>
      <c r="T61" s="52">
        <v>134000</v>
      </c>
      <c r="U61" s="52">
        <v>133</v>
      </c>
      <c r="V61" s="55">
        <f>+T61+U61*Vs</f>
        <v>609552.39236749988</v>
      </c>
    </row>
    <row r="62" spans="3:22" ht="3.75" customHeight="1">
      <c r="F62" s="18"/>
      <c r="H62" s="18"/>
      <c r="S62" s="52" t="s">
        <v>89</v>
      </c>
      <c r="T62" s="52">
        <v>650000</v>
      </c>
      <c r="U62" s="52">
        <v>20</v>
      </c>
      <c r="V62" s="55">
        <f>+T62+U62*Vs</f>
        <v>721511.63795</v>
      </c>
    </row>
    <row r="63" spans="3:22" ht="15.75" customHeight="1">
      <c r="C63" s="30" t="s">
        <v>33</v>
      </c>
      <c r="D63" s="8" t="s">
        <v>93</v>
      </c>
      <c r="F63" s="28">
        <v>0</v>
      </c>
      <c r="H63" s="19">
        <f>+IF(C63=$V$7,0,F63)</f>
        <v>0</v>
      </c>
      <c r="I63" s="8" t="s">
        <v>113</v>
      </c>
      <c r="L63" s="43" t="s">
        <v>99</v>
      </c>
      <c r="M63" s="46">
        <v>0</v>
      </c>
      <c r="V63" s="55"/>
    </row>
    <row r="64" spans="3:22" ht="3.75" customHeight="1">
      <c r="F64" s="18"/>
      <c r="H64" s="18"/>
      <c r="M64" s="46"/>
    </row>
    <row r="65" spans="3:15" ht="15.75" customHeight="1">
      <c r="C65" s="30" t="s">
        <v>33</v>
      </c>
      <c r="D65" s="8" t="s">
        <v>95</v>
      </c>
      <c r="F65" s="28">
        <v>0</v>
      </c>
      <c r="H65" s="19">
        <f>+IF(C65=$V$7,0,F65)</f>
        <v>0</v>
      </c>
      <c r="I65" s="8" t="s">
        <v>113</v>
      </c>
      <c r="L65" s="43" t="s">
        <v>100</v>
      </c>
      <c r="M65" s="46">
        <v>0</v>
      </c>
    </row>
    <row r="66" spans="3:15" ht="3.75" customHeight="1"/>
    <row r="67" spans="3:15" ht="15.75" customHeight="1">
      <c r="C67" s="16" t="s">
        <v>33</v>
      </c>
      <c r="D67" s="8" t="s">
        <v>107</v>
      </c>
      <c r="H67" s="19">
        <f>+Pb+Pgl+Ps+Ptotc+Ptotland+Ptottrans</f>
        <v>3.3162991388364236</v>
      </c>
      <c r="I67" s="8" t="s">
        <v>113</v>
      </c>
      <c r="L67" s="43" t="s">
        <v>108</v>
      </c>
      <c r="M67" s="43" t="s">
        <v>117</v>
      </c>
    </row>
    <row r="68" spans="3:15" ht="3.75" customHeight="1">
      <c r="O68" s="52" t="s">
        <v>120</v>
      </c>
    </row>
    <row r="69" spans="3:15" ht="15.75" customHeight="1">
      <c r="C69" s="30" t="s">
        <v>33</v>
      </c>
      <c r="D69" s="8" t="s">
        <v>96</v>
      </c>
      <c r="F69" s="28">
        <v>0</v>
      </c>
      <c r="H69" s="19">
        <f>+IF(C69=$V$7,Subtot*cPdo,F69)</f>
        <v>0.16581495694182119</v>
      </c>
      <c r="I69" s="8" t="s">
        <v>113</v>
      </c>
      <c r="L69" s="43" t="s">
        <v>101</v>
      </c>
      <c r="M69" s="43" t="s">
        <v>122</v>
      </c>
      <c r="O69" s="52">
        <v>0.05</v>
      </c>
    </row>
    <row r="70" spans="3:15" ht="3.75" customHeight="1">
      <c r="F70" s="20"/>
      <c r="H70" s="20"/>
      <c r="O70" s="52" t="s">
        <v>119</v>
      </c>
    </row>
    <row r="71" spans="3:15" ht="15.75" customHeight="1">
      <c r="C71" s="30" t="s">
        <v>33</v>
      </c>
      <c r="D71" s="8" t="s">
        <v>94</v>
      </c>
      <c r="F71" s="28">
        <v>0</v>
      </c>
      <c r="H71" s="19">
        <f>IF(C71=$V$7,Subtot*cPm,F71)</f>
        <v>0.33162991388364238</v>
      </c>
      <c r="I71" s="8" t="s">
        <v>113</v>
      </c>
      <c r="L71" s="43" t="s">
        <v>102</v>
      </c>
      <c r="M71" s="43" t="s">
        <v>121</v>
      </c>
      <c r="O71" s="52">
        <v>0.1</v>
      </c>
    </row>
    <row r="72" spans="3:15" ht="3.75" customHeight="1">
      <c r="O72" s="52" t="s">
        <v>123</v>
      </c>
    </row>
    <row r="73" spans="3:15" ht="15.75" customHeight="1">
      <c r="C73" s="30" t="s">
        <v>33</v>
      </c>
      <c r="D73" s="8" t="s">
        <v>116</v>
      </c>
      <c r="F73" s="28">
        <v>0</v>
      </c>
      <c r="H73" s="24">
        <f>IF(C73=$V$7,Itot*cPop,F73)</f>
        <v>1.9068720048309437E-2</v>
      </c>
      <c r="I73" s="8" t="s">
        <v>113</v>
      </c>
      <c r="L73" s="43" t="s">
        <v>115</v>
      </c>
      <c r="M73" s="43" t="s">
        <v>135</v>
      </c>
      <c r="O73" s="52">
        <v>5.0000000000000001E-3</v>
      </c>
    </row>
    <row r="74" spans="3:15" ht="3.75" customHeight="1"/>
  </sheetData>
  <sheetProtection password="CF75" sheet="1" objects="1" scenarios="1" selectLockedCells="1"/>
  <mergeCells count="8">
    <mergeCell ref="O24:Q24"/>
    <mergeCell ref="C36:I36"/>
    <mergeCell ref="C1:I1"/>
    <mergeCell ref="C2:I2"/>
    <mergeCell ref="C4:D4"/>
    <mergeCell ref="O7:Q7"/>
    <mergeCell ref="C23:I23"/>
    <mergeCell ref="C6:I6"/>
  </mergeCells>
  <conditionalFormatting sqref="F39">
    <cfRule type="expression" dxfId="16" priority="20">
      <formula>$C$39="Calc"</formula>
    </cfRule>
  </conditionalFormatting>
  <conditionalFormatting sqref="F41 F30 F26:F28">
    <cfRule type="expression" dxfId="15" priority="19">
      <formula>$C26="Calc"</formula>
    </cfRule>
  </conditionalFormatting>
  <conditionalFormatting sqref="F43">
    <cfRule type="expression" dxfId="14" priority="18">
      <formula>$C43="Calc"</formula>
    </cfRule>
  </conditionalFormatting>
  <conditionalFormatting sqref="F45">
    <cfRule type="expression" dxfId="13" priority="16">
      <formula>$C45="Calc"</formula>
    </cfRule>
  </conditionalFormatting>
  <conditionalFormatting sqref="F47">
    <cfRule type="expression" dxfId="12" priority="15">
      <formula>$C47="Calc"</formula>
    </cfRule>
  </conditionalFormatting>
  <conditionalFormatting sqref="F49">
    <cfRule type="expression" dxfId="11" priority="14">
      <formula>$C49="Calc"</formula>
    </cfRule>
  </conditionalFormatting>
  <conditionalFormatting sqref="F51">
    <cfRule type="expression" dxfId="10" priority="13">
      <formula>$C51="Calc"</formula>
    </cfRule>
  </conditionalFormatting>
  <conditionalFormatting sqref="F53">
    <cfRule type="expression" dxfId="9" priority="12">
      <formula>$C53="Calc"</formula>
    </cfRule>
  </conditionalFormatting>
  <conditionalFormatting sqref="F57">
    <cfRule type="expression" dxfId="8" priority="11">
      <formula>$C57="Calc"</formula>
    </cfRule>
  </conditionalFormatting>
  <conditionalFormatting sqref="F59">
    <cfRule type="expression" dxfId="7" priority="9">
      <formula>$C59="Calc"</formula>
    </cfRule>
  </conditionalFormatting>
  <conditionalFormatting sqref="F61">
    <cfRule type="expression" dxfId="6" priority="8">
      <formula>$C61="Calc"</formula>
    </cfRule>
  </conditionalFormatting>
  <conditionalFormatting sqref="F63">
    <cfRule type="expression" dxfId="5" priority="7">
      <formula>$C63="Calc"</formula>
    </cfRule>
  </conditionalFormatting>
  <conditionalFormatting sqref="F65">
    <cfRule type="expression" dxfId="4" priority="6">
      <formula>$C65="Calc"</formula>
    </cfRule>
  </conditionalFormatting>
  <conditionalFormatting sqref="F69">
    <cfRule type="expression" dxfId="3" priority="5">
      <formula>$C69="Calc"</formula>
    </cfRule>
  </conditionalFormatting>
  <conditionalFormatting sqref="F71">
    <cfRule type="expression" dxfId="2" priority="4">
      <formula>$C71="Calc"</formula>
    </cfRule>
  </conditionalFormatting>
  <conditionalFormatting sqref="F73">
    <cfRule type="expression" dxfId="1" priority="3">
      <formula>$C73="Calc"</formula>
    </cfRule>
  </conditionalFormatting>
  <conditionalFormatting sqref="F61">
    <cfRule type="expression" dxfId="0" priority="2">
      <formula>$C61="Calc"</formula>
    </cfRule>
  </conditionalFormatting>
  <dataValidations count="2">
    <dataValidation type="list" allowBlank="1" showInputMessage="1" showErrorMessage="1" sqref="C39 C51 C61 C65 C69 C59 C43 C41 C73 C30 C57 C63 C53 C71 C49 C45 C47 C26 C28">
      <formula1>$T$9:$T$10</formula1>
    </dataValidation>
    <dataValidation type="list" allowBlank="1" showInputMessage="1" showErrorMessage="1" sqref="F59">
      <formula1>$S$60:$S$63</formula1>
    </dataValidation>
  </dataValidations>
  <pageMargins left="0.7" right="0.7" top="0.75" bottom="0.75" header="0.3" footer="0.3"/>
  <pageSetup paperSize="9" orientation="portrait" horizontalDpi="0" verticalDpi="0" r:id="rId1"/>
  <webPublishItems count="1">
    <webPublishItem id="13288" divId="guide calc_13288" sourceType="sheet" destinationFile="C:\Documents and Settings\Jan\Dokumenter\PlanEnergi\IEE2008\SDHtake-off\guidelines\guide calc.mht"/>
  </webPublishItems>
</worksheet>
</file>

<file path=xl/worksheets/sheet3.xml><?xml version="1.0" encoding="utf-8"?>
<worksheet xmlns="http://schemas.openxmlformats.org/spreadsheetml/2006/main" xmlns:r="http://schemas.openxmlformats.org/officeDocument/2006/relationships">
  <sheetPr codeName="Ark2"/>
  <dimension ref="A3:N36"/>
  <sheetViews>
    <sheetView workbookViewId="0">
      <selection activeCell="J27" sqref="J27"/>
    </sheetView>
  </sheetViews>
  <sheetFormatPr defaultRowHeight="15"/>
  <cols>
    <col min="12" max="12" width="43.28515625" bestFit="1" customWidth="1"/>
  </cols>
  <sheetData>
    <row r="3" spans="1:9">
      <c r="I3">
        <v>2</v>
      </c>
    </row>
    <row r="4" spans="1:9">
      <c r="I4">
        <v>-2.4400000000000002E-2</v>
      </c>
    </row>
    <row r="5" spans="1:9">
      <c r="I5" s="5">
        <v>8.8499999999999996E-5</v>
      </c>
    </row>
    <row r="6" spans="1:9">
      <c r="B6" t="s">
        <v>4</v>
      </c>
      <c r="C6" t="s">
        <v>5</v>
      </c>
      <c r="F6" t="s">
        <v>6</v>
      </c>
      <c r="G6" t="s">
        <v>7</v>
      </c>
      <c r="H6" t="s">
        <v>8</v>
      </c>
    </row>
    <row r="7" spans="1:9">
      <c r="A7">
        <v>30</v>
      </c>
      <c r="B7">
        <v>546</v>
      </c>
      <c r="C7">
        <v>563</v>
      </c>
      <c r="E7">
        <v>30</v>
      </c>
      <c r="F7" s="1">
        <f t="shared" ref="F7:G12" si="0">+B7/B$9</f>
        <v>1.4255874673629243</v>
      </c>
      <c r="G7" s="1">
        <f t="shared" si="0"/>
        <v>1.2708803611738149</v>
      </c>
      <c r="H7" s="4">
        <f t="shared" ref="H7:H12" si="1">+AVERAGE(F7:G7)</f>
        <v>1.3482339142683695</v>
      </c>
      <c r="I7" s="5">
        <f t="shared" ref="I7:I12" si="2">+I$3+I$4*E7+I$5*E7^2</f>
        <v>1.3476499999999998</v>
      </c>
    </row>
    <row r="8" spans="1:9">
      <c r="A8">
        <v>40</v>
      </c>
      <c r="B8">
        <v>460</v>
      </c>
      <c r="C8">
        <v>500</v>
      </c>
      <c r="E8">
        <v>40</v>
      </c>
      <c r="F8" s="1">
        <f t="shared" si="0"/>
        <v>1.2010443864229765</v>
      </c>
      <c r="G8" s="1">
        <f t="shared" si="0"/>
        <v>1.1286681715575622</v>
      </c>
      <c r="H8" s="4">
        <f t="shared" si="1"/>
        <v>1.1648562789902694</v>
      </c>
      <c r="I8" s="5">
        <f t="shared" si="2"/>
        <v>1.1656</v>
      </c>
    </row>
    <row r="9" spans="1:9">
      <c r="A9">
        <v>50</v>
      </c>
      <c r="B9">
        <v>383</v>
      </c>
      <c r="C9">
        <v>443</v>
      </c>
      <c r="E9">
        <v>50</v>
      </c>
      <c r="F9" s="1">
        <f t="shared" si="0"/>
        <v>1</v>
      </c>
      <c r="G9" s="1">
        <f t="shared" si="0"/>
        <v>1</v>
      </c>
      <c r="H9" s="4">
        <f t="shared" si="1"/>
        <v>1</v>
      </c>
      <c r="I9" s="5">
        <f t="shared" si="2"/>
        <v>1.00125</v>
      </c>
    </row>
    <row r="10" spans="1:9">
      <c r="A10">
        <v>60</v>
      </c>
      <c r="B10">
        <v>315</v>
      </c>
      <c r="C10">
        <v>393</v>
      </c>
      <c r="E10">
        <v>60</v>
      </c>
      <c r="F10" s="1">
        <f t="shared" si="0"/>
        <v>0.82245430809399478</v>
      </c>
      <c r="G10" s="1">
        <f t="shared" si="0"/>
        <v>0.88713318284424381</v>
      </c>
      <c r="H10" s="4">
        <f t="shared" si="1"/>
        <v>0.85479374546911924</v>
      </c>
      <c r="I10" s="5">
        <f t="shared" si="2"/>
        <v>0.8545999999999998</v>
      </c>
    </row>
    <row r="11" spans="1:9">
      <c r="A11">
        <v>70</v>
      </c>
      <c r="B11">
        <v>255</v>
      </c>
      <c r="C11">
        <v>348</v>
      </c>
      <c r="E11">
        <v>70</v>
      </c>
      <c r="F11" s="1">
        <f t="shared" si="0"/>
        <v>0.66579634464751958</v>
      </c>
      <c r="G11" s="1">
        <f t="shared" si="0"/>
        <v>0.78555304740406318</v>
      </c>
      <c r="H11" s="4">
        <f t="shared" si="1"/>
        <v>0.72567469602579138</v>
      </c>
      <c r="I11" s="5">
        <f t="shared" si="2"/>
        <v>0.7256499999999998</v>
      </c>
    </row>
    <row r="12" spans="1:9">
      <c r="A12">
        <v>80</v>
      </c>
      <c r="B12">
        <v>204</v>
      </c>
      <c r="C12">
        <v>307</v>
      </c>
      <c r="E12">
        <v>80</v>
      </c>
      <c r="F12" s="1">
        <f t="shared" si="0"/>
        <v>0.53263707571801566</v>
      </c>
      <c r="G12" s="1">
        <f t="shared" si="0"/>
        <v>0.69300225733634313</v>
      </c>
      <c r="H12" s="4">
        <f t="shared" si="1"/>
        <v>0.61281966652717945</v>
      </c>
      <c r="I12" s="5">
        <f t="shared" si="2"/>
        <v>0.61439999999999984</v>
      </c>
    </row>
    <row r="34" spans="12:14">
      <c r="L34" t="s">
        <v>10</v>
      </c>
      <c r="M34">
        <v>60</v>
      </c>
      <c r="N34" t="s">
        <v>11</v>
      </c>
    </row>
    <row r="36" spans="12:14">
      <c r="L36" t="s">
        <v>9</v>
      </c>
    </row>
  </sheetData>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sheetPr codeName="Ark3"/>
  <dimension ref="B1:F16"/>
  <sheetViews>
    <sheetView workbookViewId="0">
      <selection activeCell="Q9" sqref="Q9"/>
    </sheetView>
  </sheetViews>
  <sheetFormatPr defaultRowHeight="15"/>
  <cols>
    <col min="4" max="6" width="10.42578125" customWidth="1"/>
  </cols>
  <sheetData>
    <row r="1" spans="2:6">
      <c r="B1" t="s">
        <v>0</v>
      </c>
    </row>
    <row r="2" spans="2:6">
      <c r="D2">
        <v>1</v>
      </c>
      <c r="E2">
        <v>1</v>
      </c>
      <c r="F2">
        <v>1</v>
      </c>
    </row>
    <row r="3" spans="2:6">
      <c r="D3">
        <v>-1E-3</v>
      </c>
      <c r="E3">
        <v>-1.5E-3</v>
      </c>
      <c r="F3">
        <v>-2E-3</v>
      </c>
    </row>
    <row r="4" spans="2:6">
      <c r="D4">
        <v>-2.0000000000000002E-5</v>
      </c>
      <c r="E4">
        <v>-3.0000000000000001E-5</v>
      </c>
      <c r="F4">
        <v>-4.0000000000000003E-5</v>
      </c>
    </row>
    <row r="5" spans="2:6">
      <c r="D5" t="s">
        <v>3</v>
      </c>
      <c r="E5" t="s">
        <v>2</v>
      </c>
      <c r="F5" t="s">
        <v>1</v>
      </c>
    </row>
    <row r="6" spans="2:6">
      <c r="C6">
        <v>0</v>
      </c>
      <c r="D6">
        <f>+D$2+D$3*$C6+D$4*$C6^2</f>
        <v>1</v>
      </c>
      <c r="E6">
        <f t="shared" ref="E6:F16" si="0">+E$2+E$3*$C6+E$4*$C6^2</f>
        <v>1</v>
      </c>
      <c r="F6">
        <f t="shared" si="0"/>
        <v>1</v>
      </c>
    </row>
    <row r="7" spans="2:6">
      <c r="C7">
        <v>10</v>
      </c>
      <c r="D7">
        <f t="shared" ref="D7:D16" si="1">+D$2+D$3*$C7+D$4*$C7^2</f>
        <v>0.98799999999999999</v>
      </c>
      <c r="E7">
        <f t="shared" si="0"/>
        <v>0.98199999999999998</v>
      </c>
      <c r="F7">
        <f t="shared" si="0"/>
        <v>0.97599999999999998</v>
      </c>
    </row>
    <row r="8" spans="2:6">
      <c r="C8">
        <v>20</v>
      </c>
      <c r="D8">
        <f t="shared" si="1"/>
        <v>0.97199999999999998</v>
      </c>
      <c r="E8">
        <f t="shared" si="0"/>
        <v>0.95799999999999996</v>
      </c>
      <c r="F8">
        <f t="shared" si="0"/>
        <v>0.94399999999999995</v>
      </c>
    </row>
    <row r="9" spans="2:6">
      <c r="C9">
        <v>30</v>
      </c>
      <c r="D9">
        <f t="shared" si="1"/>
        <v>0.95199999999999996</v>
      </c>
      <c r="E9">
        <f t="shared" si="0"/>
        <v>0.92799999999999994</v>
      </c>
      <c r="F9">
        <f t="shared" si="0"/>
        <v>0.90399999999999991</v>
      </c>
    </row>
    <row r="10" spans="2:6">
      <c r="C10">
        <v>40</v>
      </c>
      <c r="D10">
        <f t="shared" si="1"/>
        <v>0.92799999999999994</v>
      </c>
      <c r="E10">
        <f t="shared" si="0"/>
        <v>0.8919999999999999</v>
      </c>
      <c r="F10">
        <f t="shared" si="0"/>
        <v>0.85600000000000009</v>
      </c>
    </row>
    <row r="11" spans="2:6">
      <c r="C11">
        <v>50</v>
      </c>
      <c r="D11">
        <f t="shared" si="1"/>
        <v>0.89999999999999991</v>
      </c>
      <c r="E11">
        <f t="shared" si="0"/>
        <v>0.85000000000000009</v>
      </c>
      <c r="F11">
        <f t="shared" si="0"/>
        <v>0.8</v>
      </c>
    </row>
    <row r="12" spans="2:6">
      <c r="C12">
        <v>60</v>
      </c>
      <c r="D12">
        <f t="shared" si="1"/>
        <v>0.86799999999999988</v>
      </c>
      <c r="E12">
        <f t="shared" si="0"/>
        <v>0.80200000000000005</v>
      </c>
      <c r="F12">
        <f t="shared" si="0"/>
        <v>0.73599999999999999</v>
      </c>
    </row>
    <row r="13" spans="2:6">
      <c r="C13">
        <v>70</v>
      </c>
      <c r="D13">
        <f t="shared" si="1"/>
        <v>0.83199999999999996</v>
      </c>
      <c r="E13">
        <f t="shared" si="0"/>
        <v>0.748</v>
      </c>
      <c r="F13">
        <f t="shared" si="0"/>
        <v>0.66399999999999992</v>
      </c>
    </row>
    <row r="14" spans="2:6">
      <c r="C14">
        <v>80</v>
      </c>
      <c r="D14">
        <f t="shared" si="1"/>
        <v>0.79200000000000004</v>
      </c>
      <c r="E14">
        <f t="shared" si="0"/>
        <v>0.68799999999999994</v>
      </c>
      <c r="F14">
        <f t="shared" si="0"/>
        <v>0.58399999999999996</v>
      </c>
    </row>
    <row r="15" spans="2:6">
      <c r="C15">
        <v>90</v>
      </c>
      <c r="D15">
        <f t="shared" si="1"/>
        <v>0.748</v>
      </c>
      <c r="E15">
        <f t="shared" si="0"/>
        <v>0.622</v>
      </c>
      <c r="F15">
        <f t="shared" si="0"/>
        <v>0.49600000000000005</v>
      </c>
    </row>
    <row r="16" spans="2:6">
      <c r="C16">
        <v>100</v>
      </c>
      <c r="D16">
        <f t="shared" si="1"/>
        <v>0.7</v>
      </c>
      <c r="E16">
        <f t="shared" si="0"/>
        <v>0.55000000000000004</v>
      </c>
      <c r="F16">
        <f t="shared" si="0"/>
        <v>0.4</v>
      </c>
    </row>
  </sheetData>
  <pageMargins left="0.7" right="0.7" top="0.75" bottom="0.75" header="0.3" footer="0.3"/>
  <pageSetup paperSize="0" orientation="portrait" horizontalDpi="0" verticalDpi="0" copies="0"/>
  <drawing r:id="rId1"/>
</worksheet>
</file>

<file path=xl/worksheets/sheet5.xml><?xml version="1.0" encoding="utf-8"?>
<worksheet xmlns="http://schemas.openxmlformats.org/spreadsheetml/2006/main" xmlns:r="http://schemas.openxmlformats.org/officeDocument/2006/relationships">
  <sheetPr codeName="Ark4"/>
  <dimension ref="C3:H10"/>
  <sheetViews>
    <sheetView zoomScaleNormal="100" workbookViewId="0">
      <selection activeCell="H3" sqref="H3:H10"/>
    </sheetView>
  </sheetViews>
  <sheetFormatPr defaultRowHeight="15"/>
  <cols>
    <col min="3" max="3" width="9.85546875" bestFit="1" customWidth="1"/>
    <col min="4" max="7" width="9.28515625" bestFit="1" customWidth="1"/>
  </cols>
  <sheetData>
    <row r="3" spans="3:8">
      <c r="H3">
        <v>299.44</v>
      </c>
    </row>
    <row r="4" spans="3:8">
      <c r="E4">
        <v>1.2</v>
      </c>
      <c r="F4">
        <v>0.2</v>
      </c>
      <c r="H4">
        <v>-4.1000000000000003E-3</v>
      </c>
    </row>
    <row r="5" spans="3:8">
      <c r="H5" s="5">
        <v>3.8000000000000003E-8</v>
      </c>
    </row>
    <row r="6" spans="3:8">
      <c r="C6" s="2">
        <v>2000</v>
      </c>
      <c r="D6" s="3">
        <v>1821</v>
      </c>
      <c r="E6" s="3">
        <f>+D6/7.5*E$4</f>
        <v>291.36</v>
      </c>
      <c r="F6" s="3">
        <f>+E6-$F$4*E6</f>
        <v>233.08800000000002</v>
      </c>
      <c r="G6" s="3">
        <f t="shared" ref="G6:G9" si="0">+E6+$F$4*E6</f>
        <v>349.63200000000001</v>
      </c>
      <c r="H6" s="6">
        <f>+H$3+H$4*C6+H$5*C6^2</f>
        <v>291.392</v>
      </c>
    </row>
    <row r="7" spans="3:8">
      <c r="C7" s="2">
        <v>12500</v>
      </c>
      <c r="D7" s="3">
        <v>1590.8486299547753</v>
      </c>
      <c r="E7" s="3">
        <f t="shared" ref="E7:E10" si="1">+D7/7.5*E$4</f>
        <v>254.53578079276403</v>
      </c>
      <c r="F7" s="3">
        <f t="shared" ref="F7:F10" si="2">+E7-$F$4*E7</f>
        <v>203.62862463421123</v>
      </c>
      <c r="G7" s="3">
        <f t="shared" si="0"/>
        <v>305.44293695131682</v>
      </c>
      <c r="H7" s="6">
        <f t="shared" ref="H7:H10" si="3">+H$3+H$4*C7+H$5*C7^2</f>
        <v>254.1275</v>
      </c>
    </row>
    <row r="8" spans="3:8">
      <c r="C8" s="2">
        <v>25000</v>
      </c>
      <c r="D8" s="3">
        <v>1375</v>
      </c>
      <c r="E8" s="3">
        <f t="shared" si="1"/>
        <v>220</v>
      </c>
      <c r="F8" s="3">
        <f t="shared" si="2"/>
        <v>176</v>
      </c>
      <c r="G8" s="3">
        <f t="shared" si="0"/>
        <v>264</v>
      </c>
      <c r="H8" s="6">
        <f t="shared" si="3"/>
        <v>220.69</v>
      </c>
    </row>
    <row r="9" spans="3:8">
      <c r="C9" s="2">
        <v>37500</v>
      </c>
      <c r="D9" s="3">
        <v>1250</v>
      </c>
      <c r="E9" s="3">
        <f t="shared" si="1"/>
        <v>199.99999999999997</v>
      </c>
      <c r="F9" s="3">
        <f t="shared" si="2"/>
        <v>159.99999999999997</v>
      </c>
      <c r="G9" s="3">
        <f t="shared" si="0"/>
        <v>239.99999999999997</v>
      </c>
      <c r="H9" s="6">
        <f t="shared" si="3"/>
        <v>199.1275</v>
      </c>
    </row>
    <row r="10" spans="3:8">
      <c r="C10" s="2">
        <v>50000</v>
      </c>
      <c r="D10" s="3">
        <v>1183.3333333333335</v>
      </c>
      <c r="E10" s="3">
        <f t="shared" si="1"/>
        <v>189.33333333333334</v>
      </c>
      <c r="F10" s="3">
        <f t="shared" si="2"/>
        <v>151.46666666666667</v>
      </c>
      <c r="G10" s="3">
        <f>+E10+$F$4*E10</f>
        <v>227.20000000000002</v>
      </c>
      <c r="H10" s="6">
        <f t="shared" si="3"/>
        <v>189.43999999999997</v>
      </c>
    </row>
  </sheetData>
  <pageMargins left="0.7" right="0.7" top="0.75" bottom="0.75" header="0.3" footer="0.3"/>
  <pageSetup paperSize="0" orientation="portrait" horizontalDpi="0" verticalDpi="0" copies="0"/>
  <drawing r:id="rId1"/>
</worksheet>
</file>

<file path=xl/worksheets/sheet6.xml><?xml version="1.0" encoding="utf-8"?>
<worksheet xmlns="http://schemas.openxmlformats.org/spreadsheetml/2006/main" xmlns:r="http://schemas.openxmlformats.org/officeDocument/2006/relationships">
  <sheetPr codeName="Ark5"/>
  <dimension ref="A1:L22"/>
  <sheetViews>
    <sheetView workbookViewId="0">
      <selection activeCell="H17" sqref="H17"/>
    </sheetView>
  </sheetViews>
  <sheetFormatPr defaultRowHeight="15"/>
  <sheetData>
    <row r="1" spans="1:12">
      <c r="A1" t="s">
        <v>61</v>
      </c>
      <c r="F1" t="s">
        <v>64</v>
      </c>
      <c r="G1">
        <v>7.5</v>
      </c>
    </row>
    <row r="2" spans="1:12">
      <c r="C2" t="s">
        <v>57</v>
      </c>
      <c r="D2" t="s">
        <v>62</v>
      </c>
      <c r="G2" t="s">
        <v>67</v>
      </c>
      <c r="H2">
        <v>2000</v>
      </c>
      <c r="I2">
        <v>10000</v>
      </c>
      <c r="J2">
        <v>50000</v>
      </c>
      <c r="K2">
        <v>100000</v>
      </c>
    </row>
    <row r="3" spans="1:12">
      <c r="C3">
        <v>0</v>
      </c>
      <c r="D3">
        <v>0</v>
      </c>
      <c r="G3" t="s">
        <v>63</v>
      </c>
      <c r="H3">
        <v>1500</v>
      </c>
      <c r="I3">
        <v>1000</v>
      </c>
      <c r="L3" t="s">
        <v>69</v>
      </c>
    </row>
    <row r="4" spans="1:12">
      <c r="C4">
        <v>1</v>
      </c>
      <c r="D4">
        <v>4</v>
      </c>
      <c r="G4" t="s">
        <v>65</v>
      </c>
      <c r="J4">
        <v>250</v>
      </c>
      <c r="K4">
        <v>150</v>
      </c>
      <c r="L4" t="s">
        <v>69</v>
      </c>
    </row>
    <row r="5" spans="1:12">
      <c r="G5" t="s">
        <v>66</v>
      </c>
      <c r="J5">
        <v>250</v>
      </c>
      <c r="K5">
        <v>150</v>
      </c>
      <c r="L5" t="s">
        <v>69</v>
      </c>
    </row>
    <row r="7" spans="1:12">
      <c r="G7" t="s">
        <v>67</v>
      </c>
      <c r="H7">
        <v>2000</v>
      </c>
      <c r="I7">
        <v>10000</v>
      </c>
      <c r="J7">
        <v>50000</v>
      </c>
      <c r="K7">
        <v>100000</v>
      </c>
    </row>
    <row r="8" spans="1:12">
      <c r="G8" t="s">
        <v>63</v>
      </c>
      <c r="H8" s="7">
        <f>+H3/$G$1</f>
        <v>200</v>
      </c>
      <c r="I8" s="7">
        <f>+I3/$G$1</f>
        <v>133.33333333333334</v>
      </c>
      <c r="J8" s="7"/>
      <c r="K8" s="7"/>
      <c r="L8" t="s">
        <v>68</v>
      </c>
    </row>
    <row r="9" spans="1:12">
      <c r="G9" t="s">
        <v>65</v>
      </c>
      <c r="H9" s="7"/>
      <c r="I9" s="7"/>
      <c r="J9" s="7">
        <f t="shared" ref="J9:K9" si="0">+J4/$G$1</f>
        <v>33.333333333333336</v>
      </c>
      <c r="K9" s="7">
        <f t="shared" si="0"/>
        <v>20</v>
      </c>
      <c r="L9" t="s">
        <v>68</v>
      </c>
    </row>
    <row r="10" spans="1:12">
      <c r="G10" t="s">
        <v>66</v>
      </c>
      <c r="H10" s="7"/>
      <c r="I10" s="7"/>
      <c r="J10" s="7">
        <f t="shared" ref="J10:K10" si="1">+J5/$G$1</f>
        <v>33.333333333333336</v>
      </c>
      <c r="K10" s="7">
        <f t="shared" si="1"/>
        <v>20</v>
      </c>
      <c r="L10" t="s">
        <v>68</v>
      </c>
    </row>
    <row r="14" spans="1:12">
      <c r="G14" t="s">
        <v>71</v>
      </c>
      <c r="H14" t="s">
        <v>63</v>
      </c>
      <c r="I14" t="s">
        <v>70</v>
      </c>
    </row>
    <row r="16" spans="1:12">
      <c r="G16">
        <v>2000</v>
      </c>
      <c r="H16">
        <f>+J16*G16</f>
        <v>400000</v>
      </c>
      <c r="J16" s="7">
        <f>+H8</f>
        <v>200</v>
      </c>
    </row>
    <row r="17" spans="7:10">
      <c r="G17">
        <v>10000</v>
      </c>
      <c r="H17">
        <f>+H16+(G17-G16)*J17</f>
        <v>1464000</v>
      </c>
      <c r="J17">
        <v>133</v>
      </c>
    </row>
    <row r="18" spans="7:10">
      <c r="G18">
        <v>50000</v>
      </c>
      <c r="I18">
        <f>+G18*J18</f>
        <v>1650000</v>
      </c>
      <c r="J18">
        <v>33</v>
      </c>
    </row>
    <row r="19" spans="7:10">
      <c r="G19">
        <v>100000</v>
      </c>
      <c r="I19">
        <f>+I18+(G19-G18)*J19</f>
        <v>2650000</v>
      </c>
      <c r="J19">
        <v>20</v>
      </c>
    </row>
    <row r="21" spans="7:10">
      <c r="I21">
        <v>650000</v>
      </c>
    </row>
    <row r="22" spans="7:10">
      <c r="I22">
        <v>20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43</vt:i4>
      </vt:variant>
    </vt:vector>
  </HeadingPairs>
  <TitlesOfParts>
    <vt:vector size="49" baseType="lpstr">
      <vt:lpstr>Intro</vt:lpstr>
      <vt:lpstr>Calculator</vt:lpstr>
      <vt:lpstr>temp</vt:lpstr>
      <vt:lpstr>SF</vt:lpstr>
      <vt:lpstr>Field costs</vt:lpstr>
      <vt:lpstr>storage</vt:lpstr>
      <vt:lpstr>Ac</vt:lpstr>
      <vt:lpstr>Aland</vt:lpstr>
      <vt:lpstr>Alanduse</vt:lpstr>
      <vt:lpstr>cpc0</vt:lpstr>
      <vt:lpstr>cpc1_</vt:lpstr>
      <vt:lpstr>cpc2_</vt:lpstr>
      <vt:lpstr>cPdo</vt:lpstr>
      <vt:lpstr>cPm</vt:lpstr>
      <vt:lpstr>cPop</vt:lpstr>
      <vt:lpstr>cQsol</vt:lpstr>
      <vt:lpstr>cRT0</vt:lpstr>
      <vt:lpstr>cRT1_</vt:lpstr>
      <vt:lpstr>cRT2_</vt:lpstr>
      <vt:lpstr>cV0</vt:lpstr>
      <vt:lpstr>Dloc</vt:lpstr>
      <vt:lpstr>G0</vt:lpstr>
      <vt:lpstr>Itot</vt:lpstr>
      <vt:lpstr>Pb</vt:lpstr>
      <vt:lpstr>pc</vt:lpstr>
      <vt:lpstr>Pdo</vt:lpstr>
      <vt:lpstr>Pgl</vt:lpstr>
      <vt:lpstr>Pheat</vt:lpstr>
      <vt:lpstr>pland</vt:lpstr>
      <vt:lpstr>Pm</vt:lpstr>
      <vt:lpstr>Pop</vt:lpstr>
      <vt:lpstr>Prod</vt:lpstr>
      <vt:lpstr>Ps</vt:lpstr>
      <vt:lpstr>Ptotc</vt:lpstr>
      <vt:lpstr>Ptotland</vt:lpstr>
      <vt:lpstr>Ptottrans</vt:lpstr>
      <vt:lpstr>px_borehole</vt:lpstr>
      <vt:lpstr>px_pond</vt:lpstr>
      <vt:lpstr>px_steel</vt:lpstr>
      <vt:lpstr>Qsol0</vt:lpstr>
      <vt:lpstr>Qsol1</vt:lpstr>
      <vt:lpstr>Qsol2</vt:lpstr>
      <vt:lpstr>Qtrans</vt:lpstr>
      <vt:lpstr>SF</vt:lpstr>
      <vt:lpstr>SPT</vt:lpstr>
      <vt:lpstr>Subtot</vt:lpstr>
      <vt:lpstr>Top</vt:lpstr>
      <vt:lpstr>Vs</vt:lpstr>
      <vt:lpstr>Vs_Ac</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2006-09-25T13:34:53Z</dcterms:created>
  <dcterms:modified xsi:type="dcterms:W3CDTF">2012-09-21T12:26:16Z</dcterms:modified>
</cp:coreProperties>
</file>