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EDUC\Evaluation\_Ressources\Outils\Calcul\TH\Pistache\"/>
    </mc:Choice>
  </mc:AlternateContent>
  <workbookProtection workbookAlgorithmName="SHA-512" workbookHashValue="E5TFScHDjpeWVBF1X5XjLPys1kv7XRMxxRzhbqgDmRCvLTzSa6tF58rAFHBZcSanwwO5M49wFDqr6QhAlMNbsA==" workbookSaltValue="qefvBnYn5ftq+XraWSm1aw==" workbookSpinCount="100000" lockStructure="1"/>
  <bookViews>
    <workbookView xWindow="3690" yWindow="0" windowWidth="41640" windowHeight="10080"/>
  </bookViews>
  <sheets>
    <sheet name="Données" sheetId="5" r:id="rId1"/>
    <sheet name="Graphique" sheetId="7" r:id="rId2"/>
  </sheets>
  <calcPr calcId="152511"/>
</workbook>
</file>

<file path=xl/calcChain.xml><?xml version="1.0" encoding="utf-8"?>
<calcChain xmlns="http://schemas.openxmlformats.org/spreadsheetml/2006/main">
  <c r="Q91" i="5" l="1"/>
  <c r="Q125" i="5" s="1"/>
  <c r="N42" i="5" s="1"/>
  <c r="P42" i="5" s="1"/>
  <c r="P125" i="5"/>
  <c r="O125" i="5"/>
  <c r="N125" i="5"/>
  <c r="M125" i="5"/>
  <c r="L125" i="5"/>
  <c r="K125" i="5"/>
  <c r="J125" i="5"/>
  <c r="I125" i="5"/>
  <c r="H125" i="5"/>
  <c r="G125" i="5"/>
  <c r="F125" i="5"/>
  <c r="E125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Q88" i="5"/>
  <c r="Q122" i="5" s="1"/>
  <c r="N39" i="5" s="1"/>
  <c r="P39" i="5" s="1"/>
  <c r="P122" i="5"/>
  <c r="O122" i="5"/>
  <c r="N122" i="5"/>
  <c r="M122" i="5"/>
  <c r="L122" i="5"/>
  <c r="K122" i="5"/>
  <c r="J122" i="5"/>
  <c r="I122" i="5"/>
  <c r="H122" i="5"/>
  <c r="G122" i="5"/>
  <c r="F122" i="5"/>
  <c r="E122" i="5"/>
  <c r="Q68" i="5"/>
  <c r="Q59" i="5"/>
  <c r="Q120" i="5" s="1"/>
  <c r="N37" i="5" s="1"/>
  <c r="Q62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Q66" i="5"/>
  <c r="Q118" i="5" s="1"/>
  <c r="N35" i="5" s="1"/>
  <c r="P118" i="5"/>
  <c r="O118" i="5"/>
  <c r="N118" i="5"/>
  <c r="M118" i="5"/>
  <c r="L118" i="5"/>
  <c r="K118" i="5"/>
  <c r="J118" i="5"/>
  <c r="I118" i="5"/>
  <c r="H118" i="5"/>
  <c r="G118" i="5"/>
  <c r="F118" i="5"/>
  <c r="E118" i="5"/>
  <c r="Q52" i="5"/>
  <c r="Q116" i="5" s="1"/>
  <c r="N32" i="5" s="1"/>
  <c r="P116" i="5"/>
  <c r="O116" i="5"/>
  <c r="N116" i="5"/>
  <c r="M116" i="5"/>
  <c r="L116" i="5"/>
  <c r="K116" i="5"/>
  <c r="J116" i="5"/>
  <c r="I116" i="5"/>
  <c r="H116" i="5"/>
  <c r="G116" i="5"/>
  <c r="F116" i="5"/>
  <c r="E116" i="5"/>
  <c r="Q71" i="5"/>
  <c r="Q72" i="5"/>
  <c r="E50" i="5"/>
  <c r="E98" i="5" s="1"/>
  <c r="E115" i="5" s="1"/>
  <c r="F50" i="5"/>
  <c r="G50" i="5"/>
  <c r="G98" i="5" s="1"/>
  <c r="G115" i="5" s="1"/>
  <c r="H50" i="5"/>
  <c r="I50" i="5"/>
  <c r="I98" i="5" s="1"/>
  <c r="I115" i="5" s="1"/>
  <c r="J50" i="5"/>
  <c r="K50" i="5"/>
  <c r="K98" i="5" s="1"/>
  <c r="K115" i="5" s="1"/>
  <c r="L50" i="5"/>
  <c r="M50" i="5"/>
  <c r="M98" i="5" s="1"/>
  <c r="M115" i="5" s="1"/>
  <c r="N50" i="5"/>
  <c r="O50" i="5"/>
  <c r="O98" i="5" s="1"/>
  <c r="O115" i="5" s="1"/>
  <c r="P50" i="5"/>
  <c r="P98" i="5"/>
  <c r="P115" i="5" s="1"/>
  <c r="N98" i="5"/>
  <c r="N115" i="5" s="1"/>
  <c r="L98" i="5"/>
  <c r="L115" i="5" s="1"/>
  <c r="J98" i="5"/>
  <c r="J115" i="5" s="1"/>
  <c r="H98" i="5"/>
  <c r="H115" i="5" s="1"/>
  <c r="F98" i="5"/>
  <c r="F115" i="5" s="1"/>
  <c r="P114" i="5"/>
  <c r="O114" i="5"/>
  <c r="N114" i="5"/>
  <c r="M114" i="5"/>
  <c r="L114" i="5"/>
  <c r="K114" i="5"/>
  <c r="J114" i="5"/>
  <c r="I114" i="5"/>
  <c r="H114" i="5"/>
  <c r="G114" i="5"/>
  <c r="F114" i="5"/>
  <c r="E114" i="5"/>
  <c r="Q73" i="5"/>
  <c r="Q77" i="5"/>
  <c r="Q78" i="5"/>
  <c r="Q79" i="5"/>
  <c r="Q80" i="5"/>
  <c r="Q82" i="5"/>
  <c r="Q84" i="5"/>
  <c r="P97" i="5"/>
  <c r="P111" i="5" s="1"/>
  <c r="O97" i="5"/>
  <c r="O111" i="5" s="1"/>
  <c r="N97" i="5"/>
  <c r="N111" i="5" s="1"/>
  <c r="M97" i="5"/>
  <c r="M111" i="5" s="1"/>
  <c r="L97" i="5"/>
  <c r="L111" i="5" s="1"/>
  <c r="K97" i="5"/>
  <c r="K111" i="5" s="1"/>
  <c r="J97" i="5"/>
  <c r="J111" i="5" s="1"/>
  <c r="I97" i="5"/>
  <c r="I111" i="5" s="1"/>
  <c r="H97" i="5"/>
  <c r="H111" i="5" s="1"/>
  <c r="G97" i="5"/>
  <c r="G111" i="5" s="1"/>
  <c r="F97" i="5"/>
  <c r="F111" i="5" s="1"/>
  <c r="E97" i="5"/>
  <c r="E111" i="5" s="1"/>
  <c r="Q65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Q54" i="5"/>
  <c r="Q107" i="5" s="1"/>
  <c r="N24" i="5" s="1"/>
  <c r="P107" i="5"/>
  <c r="O107" i="5"/>
  <c r="N107" i="5"/>
  <c r="M107" i="5"/>
  <c r="L107" i="5"/>
  <c r="K107" i="5"/>
  <c r="J107" i="5"/>
  <c r="I107" i="5"/>
  <c r="H107" i="5"/>
  <c r="G107" i="5"/>
  <c r="F107" i="5"/>
  <c r="E107" i="5"/>
  <c r="C36" i="5"/>
  <c r="O105" i="5" s="1"/>
  <c r="L105" i="5"/>
  <c r="H105" i="5"/>
  <c r="C31" i="5"/>
  <c r="P104" i="5" s="1"/>
  <c r="Q55" i="5"/>
  <c r="Q100" i="5" s="1"/>
  <c r="P100" i="5"/>
  <c r="O100" i="5"/>
  <c r="N100" i="5"/>
  <c r="M100" i="5"/>
  <c r="M103" i="5" s="1"/>
  <c r="M113" i="5" s="1"/>
  <c r="L100" i="5"/>
  <c r="K100" i="5"/>
  <c r="J100" i="5"/>
  <c r="I100" i="5"/>
  <c r="I103" i="5" s="1"/>
  <c r="I113" i="5" s="1"/>
  <c r="H100" i="5"/>
  <c r="G100" i="5"/>
  <c r="F100" i="5"/>
  <c r="E100" i="5"/>
  <c r="E103" i="5" s="1"/>
  <c r="E113" i="5" s="1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Q67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P99" i="5"/>
  <c r="O99" i="5"/>
  <c r="N99" i="5"/>
  <c r="M99" i="5"/>
  <c r="L99" i="5"/>
  <c r="K99" i="5"/>
  <c r="J99" i="5"/>
  <c r="I99" i="5"/>
  <c r="H99" i="5"/>
  <c r="G99" i="5"/>
  <c r="F99" i="5"/>
  <c r="E99" i="5"/>
  <c r="Q92" i="5"/>
  <c r="Q90" i="5"/>
  <c r="Q89" i="5"/>
  <c r="Q86" i="5"/>
  <c r="Q83" i="5"/>
  <c r="Q81" i="5"/>
  <c r="Q76" i="5"/>
  <c r="Q75" i="5"/>
  <c r="Q74" i="5"/>
  <c r="Q69" i="5"/>
  <c r="Q64" i="5"/>
  <c r="Q63" i="5"/>
  <c r="Q61" i="5"/>
  <c r="Q60" i="5"/>
  <c r="Q58" i="5"/>
  <c r="Q57" i="5"/>
  <c r="Q56" i="5"/>
  <c r="Q49" i="5"/>
  <c r="O32" i="5"/>
  <c r="P32" i="5" s="1"/>
  <c r="I23" i="5"/>
  <c r="O30" i="5" s="1"/>
  <c r="P30" i="5" s="1"/>
  <c r="O26" i="5"/>
  <c r="P26" i="5" s="1"/>
  <c r="O25" i="5"/>
  <c r="O24" i="5"/>
  <c r="P105" i="5" l="1"/>
  <c r="J105" i="5"/>
  <c r="F103" i="5"/>
  <c r="F113" i="5" s="1"/>
  <c r="J103" i="5"/>
  <c r="J113" i="5" s="1"/>
  <c r="N103" i="5"/>
  <c r="N113" i="5" s="1"/>
  <c r="P24" i="5"/>
  <c r="F105" i="5"/>
  <c r="N105" i="5"/>
  <c r="F104" i="5"/>
  <c r="E105" i="5"/>
  <c r="I105" i="5"/>
  <c r="M105" i="5"/>
  <c r="Q105" i="5"/>
  <c r="Q101" i="5"/>
  <c r="H103" i="5"/>
  <c r="H113" i="5" s="1"/>
  <c r="L103" i="5"/>
  <c r="L113" i="5" s="1"/>
  <c r="P103" i="5"/>
  <c r="P113" i="5" s="1"/>
  <c r="K104" i="5"/>
  <c r="Q104" i="5"/>
  <c r="G105" i="5"/>
  <c r="K105" i="5"/>
  <c r="O37" i="5"/>
  <c r="P37" i="5" s="1"/>
  <c r="I104" i="5"/>
  <c r="N104" i="5"/>
  <c r="Q99" i="5"/>
  <c r="G104" i="5"/>
  <c r="M104" i="5"/>
  <c r="G103" i="5"/>
  <c r="G113" i="5" s="1"/>
  <c r="K103" i="5"/>
  <c r="K113" i="5" s="1"/>
  <c r="O103" i="5"/>
  <c r="O113" i="5" s="1"/>
  <c r="E104" i="5"/>
  <c r="J104" i="5"/>
  <c r="O104" i="5"/>
  <c r="Q124" i="5"/>
  <c r="N41" i="5" s="1"/>
  <c r="P41" i="5" s="1"/>
  <c r="Q108" i="5"/>
  <c r="N25" i="5" s="1"/>
  <c r="P25" i="5" s="1"/>
  <c r="Q97" i="5"/>
  <c r="Q111" i="5" s="1"/>
  <c r="N28" i="5" s="1"/>
  <c r="P28" i="5" s="1"/>
  <c r="Q50" i="5"/>
  <c r="Q98" i="5" s="1"/>
  <c r="Q115" i="5" s="1"/>
  <c r="N33" i="5" s="1"/>
  <c r="P33" i="5" s="1"/>
  <c r="I24" i="5"/>
  <c r="O31" i="5"/>
  <c r="P31" i="5" s="1"/>
  <c r="H104" i="5"/>
  <c r="L104" i="5"/>
  <c r="Q109" i="5"/>
  <c r="N26" i="5" s="1"/>
  <c r="O35" i="5" s="1"/>
  <c r="P35" i="5" s="1"/>
  <c r="Q114" i="5"/>
  <c r="N31" i="5" s="1"/>
  <c r="Q103" i="5" l="1"/>
  <c r="Q113" i="5" s="1"/>
  <c r="N30" i="5" s="1"/>
</calcChain>
</file>

<file path=xl/sharedStrings.xml><?xml version="1.0" encoding="utf-8"?>
<sst xmlns="http://schemas.openxmlformats.org/spreadsheetml/2006/main" count="335" uniqueCount="245">
  <si>
    <t>1. INFORMATIONS ET REPRESENTATION SCHEMATIQUE</t>
  </si>
  <si>
    <t>Schéma de type Collectif</t>
  </si>
  <si>
    <t>Schéma de type SSC+</t>
  </si>
  <si>
    <t>Analyse des données</t>
  </si>
  <si>
    <t>Appoint chaud</t>
  </si>
  <si>
    <t>Rendement de génération App. Chaud</t>
  </si>
  <si>
    <t>Coeff. de conversion en énergie primaire</t>
  </si>
  <si>
    <t>Appoint froid</t>
  </si>
  <si>
    <t>Rendement de génération App. Froid</t>
  </si>
  <si>
    <t>Tarifs énergétiques</t>
  </si>
  <si>
    <t>2. SUIVI DE L'INSTALLATION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</si>
  <si>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</si>
  <si>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</si>
  <si>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</si>
  <si>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</si>
  <si>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</si>
  <si>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</si>
  <si>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</si>
  <si>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</si>
  <si>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</si>
  <si>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</si>
  <si>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</si>
  <si>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</si>
  <si>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Annuel</t>
  </si>
  <si>
    <t>2.1. Type de fonctionnement</t>
  </si>
  <si>
    <t>Nom du mois et de l'année (nom-*/AA)</t>
  </si>
  <si>
    <t>Qsol</t>
  </si>
  <si>
    <t>Q1</t>
  </si>
  <si>
    <t>Q2a</t>
  </si>
  <si>
    <t>Q2b</t>
  </si>
  <si>
    <t>Q2c</t>
  </si>
  <si>
    <t>Q3s</t>
  </si>
  <si>
    <t>Q3</t>
  </si>
  <si>
    <t>Besoins en chauffage</t>
  </si>
  <si>
    <t>Q3'</t>
  </si>
  <si>
    <t>Q4s</t>
  </si>
  <si>
    <t>Q4</t>
  </si>
  <si>
    <t>Besoins en ECS</t>
  </si>
  <si>
    <t>Q4'</t>
  </si>
  <si>
    <t>Q6</t>
  </si>
  <si>
    <t>Q7</t>
  </si>
  <si>
    <t>Q8</t>
  </si>
  <si>
    <t>Q10</t>
  </si>
  <si>
    <t>Q10'</t>
  </si>
  <si>
    <t>E1a</t>
  </si>
  <si>
    <t>E1b</t>
  </si>
  <si>
    <t>E2</t>
  </si>
  <si>
    <t>E3</t>
  </si>
  <si>
    <t>E4a</t>
  </si>
  <si>
    <t>E4b</t>
  </si>
  <si>
    <t>E5</t>
  </si>
  <si>
    <t>E6</t>
  </si>
  <si>
    <t>E7</t>
  </si>
  <si>
    <t>E8</t>
  </si>
  <si>
    <t>E10</t>
  </si>
  <si>
    <t>Machine à sorption</t>
  </si>
  <si>
    <t>E11</t>
  </si>
  <si>
    <t>E12</t>
  </si>
  <si>
    <t>E14</t>
  </si>
  <si>
    <t>V1</t>
  </si>
  <si>
    <t>3.1. Grandeurs dimensionnelles importantes</t>
  </si>
  <si>
    <t>Energie électriques des auxiliares</t>
  </si>
  <si>
    <t>Eaux</t>
  </si>
  <si>
    <t>Energie électriques des auxiliares solaires</t>
  </si>
  <si>
    <t>Eaux sol</t>
  </si>
  <si>
    <t>Pertes thermiques du stockages chaud</t>
  </si>
  <si>
    <t>Qloss chaud</t>
  </si>
  <si>
    <t>Pertes du stockage chaud liées à l'appoint</t>
  </si>
  <si>
    <t>Qloss app chaud</t>
  </si>
  <si>
    <t>Pertes thermiques du stockages froid</t>
  </si>
  <si>
    <t>Qloss froid</t>
  </si>
  <si>
    <t>Pertes du stockage froid liées à l'appoint</t>
  </si>
  <si>
    <t>Qloss app froid</t>
  </si>
  <si>
    <t>Energie solaire utile</t>
  </si>
  <si>
    <t>ESU</t>
  </si>
  <si>
    <t>Consommation de l'appoint chaud</t>
  </si>
  <si>
    <t>Conso app chaud</t>
  </si>
  <si>
    <t>Consommation de l'appoint froid</t>
  </si>
  <si>
    <t>Conso app froid</t>
  </si>
  <si>
    <t>Rendement du stockage chaud</t>
  </si>
  <si>
    <t>n stock chaud</t>
  </si>
  <si>
    <t>Rendement du stockage froid</t>
  </si>
  <si>
    <t>n stock froid</t>
  </si>
  <si>
    <t>Coefficient de performance thermique</t>
  </si>
  <si>
    <t>COPth</t>
  </si>
  <si>
    <t>PER</t>
  </si>
  <si>
    <t>3.3. Indicateurs de performance solaire</t>
  </si>
  <si>
    <t>Productivité solaire utile</t>
  </si>
  <si>
    <t>PSU</t>
  </si>
  <si>
    <t>Rendement solaire</t>
  </si>
  <si>
    <t>R sol</t>
  </si>
  <si>
    <t>Coefficient de performance électrique solaire</t>
  </si>
  <si>
    <t>COP élec sol</t>
  </si>
  <si>
    <t>Rendement de captation solaire</t>
  </si>
  <si>
    <t>R capt</t>
  </si>
  <si>
    <t>3.4. Indicateur d'impact écologique</t>
  </si>
  <si>
    <t>Consommation en eau spécifique</t>
  </si>
  <si>
    <t>CE spé</t>
  </si>
  <si>
    <t>3.6. Indicateur économique</t>
  </si>
  <si>
    <t>Coût du kWh total</t>
  </si>
  <si>
    <t>Coût kWh</t>
  </si>
  <si>
    <t>Tps fct</t>
  </si>
  <si>
    <t>Inconfort</t>
  </si>
  <si>
    <t>Indicateur relatif de confort</t>
  </si>
  <si>
    <t>Indicateur relatif de fonctionnement</t>
  </si>
  <si>
    <t>Indicateur relatif de perte de données</t>
  </si>
  <si>
    <t>Energie thermique calorifique rejetée par la machine à ab/adsorption</t>
  </si>
  <si>
    <t>Q5</t>
  </si>
  <si>
    <t>Irradiation totale sur la surface d’entrée des capteurs</t>
  </si>
  <si>
    <t>Energie thermique calorifique solaire fournie au stockage chaud</t>
  </si>
  <si>
    <t>Energie thermique calorifique totale fournie par l'appoint chaud</t>
  </si>
  <si>
    <t>Energie thermique calorifique d'appoint fournie au stockage</t>
  </si>
  <si>
    <t>Energie thermique calorifique solaire fournie pour le chauffage</t>
  </si>
  <si>
    <t>Energie thermique calorifique solaire fournie pour la production d'ECS</t>
  </si>
  <si>
    <t>Energie thermique fournie pour l'eau chaude sanitaire</t>
  </si>
  <si>
    <t>Energie thermique calorifique fournie à la machine à sorption</t>
  </si>
  <si>
    <t>Energie thermique frigorifique fournie par l'évaporateur</t>
  </si>
  <si>
    <t>Energie thermique frigorifique fournie par l'appoint froid</t>
  </si>
  <si>
    <t>Energie thermique frigorifique fournie au bâtiment</t>
  </si>
  <si>
    <t>Consommation électrique de la pompe primaire solaire</t>
  </si>
  <si>
    <t>Consommation électrique de la pompe secondaire</t>
  </si>
  <si>
    <t>Consommation électrique auxiliaire de l'appoint chaud</t>
  </si>
  <si>
    <t>Consommation électrique de la pompe de distribution de chauffage</t>
  </si>
  <si>
    <t>Consommation électrique de la pompe primaire de distribution d'ECS</t>
  </si>
  <si>
    <t>Consommation électrique de la pompe secondaire de distribution d'ECS</t>
  </si>
  <si>
    <t>Consommation électrique de la pompe absorbeur/condenseur</t>
  </si>
  <si>
    <t>Consommation électrique de la pompe générateur</t>
  </si>
  <si>
    <t>Consommation électrique de la pompe évaporateur</t>
  </si>
  <si>
    <t>Consommation électrique de la pompe de l'appoint frigorifique</t>
  </si>
  <si>
    <t>Consommation électrique de la pompe de distribution d'eau glacée</t>
  </si>
  <si>
    <t>Consommation électrique de la machine à sorption</t>
  </si>
  <si>
    <t>Energie électrique de production de l'appoint frigorifique</t>
  </si>
  <si>
    <t>Consommation électrique du ventilateur de la tour de refroidissement</t>
  </si>
  <si>
    <t>Consommation en eau du système de refroidissement</t>
  </si>
  <si>
    <t>2.3. Energies thermiques</t>
  </si>
  <si>
    <t>2.4. Energies électriques</t>
  </si>
  <si>
    <t>2.5. Eau</t>
  </si>
  <si>
    <t>3. CALCUL DES INDICATEURS DE PERFORMANCE &amp; DE QUALITE</t>
  </si>
  <si>
    <t>3.6. Indicateur de confort</t>
  </si>
  <si>
    <t>[-]</t>
  </si>
  <si>
    <t>[kWh]</t>
  </si>
  <si>
    <t>2.6. Fonctionnement</t>
  </si>
  <si>
    <t>[h]</t>
  </si>
  <si>
    <t>[jour]</t>
  </si>
  <si>
    <t>[kWh/m²]</t>
  </si>
  <si>
    <t>[€/kWh]</t>
  </si>
  <si>
    <t>[%]</t>
  </si>
  <si>
    <t>Nom de l'installation</t>
  </si>
  <si>
    <t>Responsable</t>
  </si>
  <si>
    <t>Ville</t>
  </si>
  <si>
    <t>Pays</t>
  </si>
  <si>
    <t>Date d'exploitation des données</t>
  </si>
  <si>
    <t>Exploitation des données réalisée par</t>
  </si>
  <si>
    <t>Société</t>
  </si>
  <si>
    <t>Contact</t>
  </si>
  <si>
    <t>OUTIL DE TRAITEMENT DES DONNEES DE SUIVI DES INSTALLATIONS DE CLIMATISATION/CHAUFFAGE/PRODUCTION D'ECS SOLAIRE</t>
  </si>
  <si>
    <t>1.1. Infomations générales sur l'installation</t>
  </si>
  <si>
    <t>1.2. Infomations sur l'exploitation des données</t>
  </si>
  <si>
    <t>1.3. Schéma type de l'installation</t>
  </si>
  <si>
    <t>1.4. Caractéristiques de l'installation</t>
  </si>
  <si>
    <t>[litres]</t>
  </si>
  <si>
    <t>Global</t>
  </si>
  <si>
    <t>Type d'installation (Collectif : 1 | SSC+ : 2)</t>
  </si>
  <si>
    <t>Surface d'entrée des capteurs solaires</t>
  </si>
  <si>
    <t>[m²]</t>
  </si>
  <si>
    <t>Volume total de stockage chaud</t>
  </si>
  <si>
    <t>[litre]</t>
  </si>
  <si>
    <t>Schéma d'installation</t>
  </si>
  <si>
    <t>Capteurs solaires</t>
  </si>
  <si>
    <t>Stockage chaud</t>
  </si>
  <si>
    <t>COP thermique nominal</t>
  </si>
  <si>
    <t>Stockage froid</t>
  </si>
  <si>
    <t>Existant (1 : oui | 0 : non)</t>
  </si>
  <si>
    <t>Position de l'App. Froid (1 : ligne | 0 : stock)</t>
  </si>
  <si>
    <t>Coût du kWh électrique</t>
  </si>
  <si>
    <t>T. ext. moyenne annuelle</t>
  </si>
  <si>
    <t>Mode de fonctionnement de l'installation (1 : froid, 2 : chaud, 3 : mixte)</t>
  </si>
  <si>
    <t>I fct</t>
  </si>
  <si>
    <t>I données</t>
  </si>
  <si>
    <t>I confort</t>
  </si>
  <si>
    <t>Données</t>
  </si>
  <si>
    <t>Jour</t>
  </si>
  <si>
    <t>Jour fct</t>
  </si>
  <si>
    <t>Coût du kWh de l'énergie de l'appoint chaud</t>
  </si>
  <si>
    <t>Coût du kWh de l'énergie de l'appoint froid</t>
  </si>
  <si>
    <t>1.5. Paramètres pour l'analyse des performances</t>
  </si>
  <si>
    <t>[°C]</t>
  </si>
  <si>
    <t>Température ambiante</t>
  </si>
  <si>
    <t>Stockages chaud &amp; froid</t>
  </si>
  <si>
    <t>a1</t>
  </si>
  <si>
    <t>a2</t>
  </si>
  <si>
    <t>1.6. Description de l'installation</t>
  </si>
  <si>
    <t>Valeurs</t>
  </si>
  <si>
    <t>Seuils</t>
  </si>
  <si>
    <t>Analyse</t>
  </si>
  <si>
    <t>ANALYSE DES PERFORMANCES</t>
  </si>
  <si>
    <t>Indicateurs de performance solaire</t>
  </si>
  <si>
    <t>Indicateur d'impact écologique</t>
  </si>
  <si>
    <t>Indicateur économique</t>
  </si>
  <si>
    <t>Indicateur de confort</t>
  </si>
  <si>
    <t>n stock chaud [-]</t>
  </si>
  <si>
    <t>n stock froid [-]</t>
  </si>
  <si>
    <t>COPth [-]</t>
  </si>
  <si>
    <t>PER [-]</t>
  </si>
  <si>
    <t>PSU [kWh/m²]</t>
  </si>
  <si>
    <t>R sol [-]</t>
  </si>
  <si>
    <t>COP élec sol [-]</t>
  </si>
  <si>
    <t>R capt [-]</t>
  </si>
  <si>
    <t>CE spé [l/kWh]</t>
  </si>
  <si>
    <t>Coût kWh [€/kWh]</t>
  </si>
  <si>
    <t>I confort [%]</t>
  </si>
  <si>
    <t>I fct [%]</t>
  </si>
  <si>
    <t>I données [%]</t>
  </si>
  <si>
    <t>Energie thermique calorifique totale fournie pour le chauffage</t>
  </si>
  <si>
    <t>Besoins en climatisation</t>
  </si>
  <si>
    <t>Energie thermique calorifique d'appoint fournie pour le chauffage</t>
  </si>
  <si>
    <t>Nbre de mois de données</t>
  </si>
  <si>
    <t>Nbre de mois de climatisation</t>
  </si>
  <si>
    <t>2.2. Energie solaire</t>
  </si>
  <si>
    <t>3.2. Indicateurs d'efficacité thermique</t>
  </si>
  <si>
    <t>3.7. Indicateurs de bon fonctionnement</t>
  </si>
  <si>
    <t>3.3. Indicateur de performance globaux</t>
  </si>
  <si>
    <t>Ratio d'énergie primaire ("Primary energy ratio")</t>
  </si>
  <si>
    <r>
      <t>Coût du m</t>
    </r>
    <r>
      <rPr>
        <vertAlign val="superscript"/>
        <sz val="10"/>
        <rFont val="Calibri"/>
        <family val="2"/>
      </rPr>
      <t>3</t>
    </r>
    <r>
      <rPr>
        <sz val="10"/>
        <rFont val="Calibri"/>
      </rPr>
      <t xml:space="preserve"> d'eau</t>
    </r>
  </si>
  <si>
    <t>Indicateurs d'efficacité thermique</t>
  </si>
  <si>
    <t>Indicateur de performance globale</t>
  </si>
  <si>
    <t>Indicateurs de bon fonctionnement</t>
  </si>
  <si>
    <t>[W/m²/K]</t>
  </si>
  <si>
    <t>[W/m²/K²]</t>
  </si>
  <si>
    <r>
      <t>[€/m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]</t>
    </r>
  </si>
  <si>
    <t>Cet outil a été en partie financé par l’Agence Nationale de la Recherche (ANR) au travers du programme Habitat intelligent et solaire photovoltaïque (projet MEGAPICS n°ANR-09-HA BISOL-007).</t>
  </si>
  <si>
    <t>[l/kWh]</t>
  </si>
  <si>
    <r>
      <rPr>
        <sz val="10"/>
        <rFont val="Arial"/>
        <family val="2"/>
      </rPr>
      <t>η</t>
    </r>
    <r>
      <rPr>
        <sz val="10"/>
        <rFont val="Calibri"/>
        <family val="2"/>
      </rPr>
      <t>0</t>
    </r>
  </si>
  <si>
    <t>Nombre d'heures de fonctionnement</t>
  </si>
  <si>
    <t>Nombre d'heures d'inconfort</t>
  </si>
  <si>
    <t>Nombre de jours de fonctionnement</t>
  </si>
  <si>
    <t>Nombre de jours du mois</t>
  </si>
  <si>
    <t>Nombre de jours avec absence de données</t>
  </si>
  <si>
    <t>|Version 13.1 du 13/02/2013|</t>
  </si>
  <si>
    <t>Volume total de stockage froid</t>
  </si>
  <si>
    <t>PCS/PCI (gaz : 1,11 | fioul : 1,07 | autre : 1)</t>
  </si>
  <si>
    <t>Nbre de stockages chaud</t>
  </si>
  <si>
    <t>Nbre de stockages froid</t>
  </si>
  <si>
    <t>Le projet MéGaPICS était coordonné par le bureau d’études TECSOL et regroupait au sein d’un consortium les partenaires CEA-INES, EDF R&amp;D, ENERPLAN, GDF SUEZ &amp; le laboratoire PIMENT.</t>
  </si>
  <si>
    <t>Ce document a été rédigé par le CEA-INES avec la précieuse collaboration des partenaires du projet MéGaPICS (contact : francois.boudehenn@cea.fr).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</si>
</sst>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[$-40C]mmm\-yy;@"/>
  </numFmts>
  <fonts count="54">
    <font>
      <sz val="10"/>
      <name val="Calibri"/>
    </font>
    <font>
      <sz val="10"/>
      <name val="Calibri"/>
    </font>
    <font>
      <sz val="8"/>
      <name val="Calibri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b/>
      <i/>
      <sz val="10"/>
      <name val="Calibri"/>
      <family val="2"/>
    </font>
    <font>
      <b/>
      <sz val="8"/>
      <name val="Calibri"/>
      <family val="2"/>
    </font>
    <font>
      <sz val="8"/>
      <color indexed="23"/>
      <name val="Calibri"/>
      <family val="2"/>
    </font>
    <font>
      <u/>
      <sz val="8"/>
      <name val="Calibri"/>
      <family val="2"/>
    </font>
    <font>
      <i/>
      <u/>
      <sz val="8"/>
      <name val="Calibri"/>
      <family val="2"/>
    </font>
    <font>
      <i/>
      <sz val="6"/>
      <name val="Calibri"/>
      <family val="2"/>
    </font>
    <font>
      <b/>
      <sz val="9"/>
      <name val="Calibri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7"/>
      <name val="Calibri"/>
    </font>
    <font>
      <sz val="10"/>
      <name val="Calibri"/>
    </font>
    <font>
      <sz val="7"/>
      <color indexed="55"/>
      <name val="Calibri"/>
    </font>
    <font>
      <b/>
      <sz val="13"/>
      <color indexed="53"/>
      <name val="Calibri"/>
      <family val="2"/>
    </font>
    <font>
      <sz val="7"/>
      <color indexed="53"/>
      <name val="Calibri"/>
      <family val="2"/>
    </font>
    <font>
      <u/>
      <sz val="7"/>
      <name val="Calibri"/>
      <family val="2"/>
    </font>
    <font>
      <b/>
      <sz val="8"/>
      <name val="Calibri"/>
    </font>
    <font>
      <i/>
      <sz val="9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u/>
      <sz val="10"/>
      <name val="Calibri"/>
    </font>
    <font>
      <sz val="10"/>
      <name val="Calibri"/>
    </font>
    <font>
      <sz val="10"/>
      <color indexed="53"/>
      <name val="Calibri"/>
      <family val="2"/>
    </font>
    <font>
      <sz val="10"/>
      <color indexed="55"/>
      <name val="Calibri"/>
    </font>
    <font>
      <vertAlign val="superscript"/>
      <sz val="10"/>
      <name val="Calibri"/>
      <family val="2"/>
    </font>
    <font>
      <sz val="7"/>
      <name val="Calibri"/>
      <family val="2"/>
    </font>
    <font>
      <sz val="7"/>
      <color indexed="55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gray0625">
        <fgColor indexed="52"/>
        <bgColor indexed="9"/>
      </patternFill>
    </fill>
    <fill>
      <patternFill patternType="gray0625">
        <fgColor indexed="52"/>
      </patternFill>
    </fill>
    <fill>
      <patternFill patternType="lightGrid">
        <fgColor indexed="47"/>
        <bgColor indexed="9"/>
      </patternFill>
    </fill>
    <fill>
      <patternFill patternType="gray0625">
        <fgColor indexed="5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  <fill>
      <patternFill patternType="gray0625">
        <fgColor indexed="52"/>
        <bgColor rgb="FFFDEFE7"/>
      </patternFill>
    </fill>
    <fill>
      <patternFill patternType="solid">
        <fgColor rgb="FFFEF5F0"/>
        <bgColor indexed="64"/>
      </patternFill>
    </fill>
    <fill>
      <patternFill patternType="gray0625">
        <fgColor indexed="52"/>
        <bgColor rgb="FFFEF5F0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53"/>
      </right>
      <top style="medium">
        <color indexed="22"/>
      </top>
      <bottom style="medium">
        <color indexed="22"/>
      </bottom>
      <diagonal/>
    </border>
    <border>
      <left/>
      <right style="medium">
        <color indexed="53"/>
      </right>
      <top/>
      <bottom/>
      <diagonal/>
    </border>
    <border>
      <left/>
      <right/>
      <top style="medium">
        <color indexed="53"/>
      </top>
      <bottom style="medium">
        <color indexed="22"/>
      </bottom>
      <diagonal/>
    </border>
    <border>
      <left/>
      <right style="medium">
        <color indexed="53"/>
      </right>
      <top style="medium">
        <color indexed="53"/>
      </top>
      <bottom style="medium">
        <color indexed="22"/>
      </bottom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dotted">
        <color indexed="64"/>
      </left>
      <right/>
      <top style="medium">
        <color indexed="22"/>
      </top>
      <bottom style="dotted">
        <color indexed="64"/>
      </bottom>
      <diagonal/>
    </border>
    <border>
      <left/>
      <right/>
      <top style="medium">
        <color indexed="22"/>
      </top>
      <bottom style="dotted">
        <color indexed="64"/>
      </bottom>
      <diagonal/>
    </border>
    <border>
      <left/>
      <right style="dotted">
        <color indexed="64"/>
      </right>
      <top style="medium">
        <color indexed="22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22"/>
      </bottom>
      <diagonal/>
    </border>
    <border>
      <left/>
      <right/>
      <top style="dotted">
        <color indexed="64"/>
      </top>
      <bottom style="medium">
        <color indexed="22"/>
      </bottom>
      <diagonal/>
    </border>
    <border>
      <left/>
      <right style="dotted">
        <color indexed="64"/>
      </right>
      <top style="dotted">
        <color indexed="64"/>
      </top>
      <bottom style="medium">
        <color indexed="2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2"/>
      </top>
      <bottom/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/>
      <top style="medium">
        <color indexed="53"/>
      </top>
      <bottom/>
      <diagonal/>
    </border>
    <border>
      <left style="medium">
        <color indexed="53"/>
      </left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53"/>
      </left>
      <right/>
      <top style="medium">
        <color indexed="53"/>
      </top>
      <bottom style="medium">
        <color indexed="22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Font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2" fillId="0" borderId="0"/>
    <xf numFmtId="0" fontId="8" fillId="0" borderId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4" fillId="20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23" borderId="9" applyNumberFormat="0" applyAlignment="0" applyProtection="0"/>
  </cellStyleXfs>
  <cellXfs count="238">
    <xf numFmtId="0" fontId="0" fillId="0" borderId="0" xfId="0"/>
    <xf numFmtId="0" fontId="39" fillId="24" borderId="0" xfId="0" applyFont="1" applyFill="1" applyAlignment="1">
      <alignment horizontal="left" vertical="center"/>
    </xf>
    <xf numFmtId="0" fontId="40" fillId="24" borderId="0" xfId="0" applyFont="1" applyFill="1" applyAlignment="1">
      <alignment horizontal="left" vertical="center"/>
    </xf>
    <xf numFmtId="0" fontId="53" fillId="24" borderId="0" xfId="0" applyFont="1" applyFill="1" applyAlignment="1">
      <alignment horizontal="left" vertical="center"/>
    </xf>
    <xf numFmtId="0" fontId="0" fillId="24" borderId="0" xfId="0" applyFill="1" applyAlignment="1">
      <alignment vertical="center"/>
    </xf>
    <xf numFmtId="0" fontId="1" fillId="2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0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 wrapText="1"/>
    </xf>
    <xf numFmtId="0" fontId="50" fillId="24" borderId="0" xfId="0" applyFont="1" applyFill="1" applyAlignment="1">
      <alignment horizontal="left" vertical="center"/>
    </xf>
    <xf numFmtId="0" fontId="41" fillId="24" borderId="0" xfId="0" quotePrefix="1" applyFont="1" applyFill="1" applyAlignment="1">
      <alignment horizontal="right" vertical="center"/>
    </xf>
    <xf numFmtId="0" fontId="41" fillId="24" borderId="0" xfId="0" applyFont="1" applyFill="1" applyAlignment="1">
      <alignment horizontal="right" vertical="center"/>
    </xf>
    <xf numFmtId="0" fontId="24" fillId="26" borderId="54" xfId="34" applyFont="1" applyFill="1" applyBorder="1" applyAlignment="1">
      <alignment vertical="center"/>
    </xf>
    <xf numFmtId="0" fontId="27" fillId="26" borderId="26" xfId="34" applyFont="1" applyFill="1" applyBorder="1" applyAlignment="1">
      <alignment vertical="center"/>
    </xf>
    <xf numFmtId="0" fontId="24" fillId="26" borderId="26" xfId="34" applyFont="1" applyFill="1" applyBorder="1" applyAlignment="1">
      <alignment vertical="center"/>
    </xf>
    <xf numFmtId="0" fontId="28" fillId="26" borderId="26" xfId="34" applyFont="1" applyFill="1" applyBorder="1" applyAlignment="1">
      <alignment horizontal="center" vertical="center"/>
    </xf>
    <xf numFmtId="0" fontId="33" fillId="26" borderId="27" xfId="34" applyFont="1" applyFill="1" applyBorder="1" applyAlignment="1">
      <alignment horizontal="center" vertical="center"/>
    </xf>
    <xf numFmtId="0" fontId="24" fillId="25" borderId="55" xfId="34" applyFont="1" applyFill="1" applyBorder="1" applyAlignment="1">
      <alignment vertical="center"/>
    </xf>
    <xf numFmtId="0" fontId="24" fillId="25" borderId="19" xfId="34" applyFont="1" applyFill="1" applyBorder="1" applyAlignment="1">
      <alignment vertical="center"/>
    </xf>
    <xf numFmtId="0" fontId="25" fillId="25" borderId="43" xfId="34" applyFont="1" applyFill="1" applyBorder="1" applyAlignment="1">
      <alignment horizontal="center" vertical="center"/>
    </xf>
    <xf numFmtId="0" fontId="28" fillId="24" borderId="0" xfId="34" applyFont="1" applyFill="1" applyBorder="1" applyAlignment="1">
      <alignment vertical="center"/>
    </xf>
    <xf numFmtId="0" fontId="24" fillId="25" borderId="42" xfId="34" applyFont="1" applyFill="1" applyBorder="1" applyAlignment="1">
      <alignment vertical="center"/>
    </xf>
    <xf numFmtId="0" fontId="28" fillId="25" borderId="19" xfId="34" applyFont="1" applyFill="1" applyBorder="1" applyAlignment="1">
      <alignment vertical="center"/>
    </xf>
    <xf numFmtId="0" fontId="33" fillId="25" borderId="22" xfId="34" applyFont="1" applyFill="1" applyBorder="1" applyAlignment="1">
      <alignment vertical="center"/>
    </xf>
    <xf numFmtId="0" fontId="1" fillId="24" borderId="53" xfId="0" applyFont="1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46" fillId="24" borderId="0" xfId="34" applyFont="1" applyFill="1" applyBorder="1" applyAlignment="1">
      <alignment vertical="center"/>
    </xf>
    <xf numFmtId="0" fontId="30" fillId="24" borderId="0" xfId="34" applyFont="1" applyFill="1" applyBorder="1" applyAlignment="1">
      <alignment vertical="center"/>
    </xf>
    <xf numFmtId="0" fontId="31" fillId="24" borderId="0" xfId="34" applyFont="1" applyFill="1" applyBorder="1" applyAlignment="1">
      <alignment vertical="center"/>
    </xf>
    <xf numFmtId="0" fontId="23" fillId="24" borderId="0" xfId="34" applyFont="1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29" fillId="24" borderId="0" xfId="34" applyFont="1" applyFill="1" applyBorder="1" applyAlignment="1">
      <alignment vertical="center"/>
    </xf>
    <xf numFmtId="0" fontId="26" fillId="24" borderId="0" xfId="34" applyFont="1" applyFill="1" applyBorder="1" applyAlignment="1">
      <alignment vertical="center"/>
    </xf>
    <xf numFmtId="0" fontId="43" fillId="25" borderId="19" xfId="34" applyFont="1" applyFill="1" applyBorder="1" applyAlignment="1">
      <alignment vertical="center"/>
    </xf>
    <xf numFmtId="0" fontId="38" fillId="25" borderId="43" xfId="34" applyFont="1" applyFill="1" applyBorder="1" applyAlignment="1">
      <alignment horizontal="center" vertical="center"/>
    </xf>
    <xf numFmtId="0" fontId="25" fillId="24" borderId="53" xfId="0" applyFont="1" applyFill="1" applyBorder="1" applyAlignment="1">
      <alignment vertical="center"/>
    </xf>
    <xf numFmtId="0" fontId="25" fillId="25" borderId="19" xfId="34" applyFont="1" applyFill="1" applyBorder="1" applyAlignment="1">
      <alignment horizontal="center" vertical="center"/>
    </xf>
    <xf numFmtId="0" fontId="23" fillId="24" borderId="34" xfId="34" applyFont="1" applyFill="1" applyBorder="1" applyAlignment="1">
      <alignment horizontal="center" vertical="center"/>
    </xf>
    <xf numFmtId="0" fontId="23" fillId="25" borderId="19" xfId="34" applyFont="1" applyFill="1" applyBorder="1" applyAlignment="1">
      <alignment horizontal="left" vertical="center"/>
    </xf>
    <xf numFmtId="0" fontId="23" fillId="25" borderId="19" xfId="34" applyFont="1" applyFill="1" applyBorder="1" applyAlignment="1">
      <alignment horizontal="center" vertical="center"/>
    </xf>
    <xf numFmtId="0" fontId="23" fillId="24" borderId="44" xfId="34" applyFont="1" applyFill="1" applyBorder="1" applyAlignment="1">
      <alignment horizontal="center" vertical="center"/>
    </xf>
    <xf numFmtId="0" fontId="33" fillId="26" borderId="48" xfId="34" applyFont="1" applyFill="1" applyBorder="1" applyAlignment="1">
      <alignment horizontal="left" vertical="center"/>
    </xf>
    <xf numFmtId="0" fontId="36" fillId="26" borderId="49" xfId="34" applyFont="1" applyFill="1" applyBorder="1" applyAlignment="1">
      <alignment horizontal="center" vertical="center"/>
    </xf>
    <xf numFmtId="0" fontId="36" fillId="26" borderId="50" xfId="34" applyFont="1" applyFill="1" applyBorder="1" applyAlignment="1">
      <alignment horizontal="center" vertical="center"/>
    </xf>
    <xf numFmtId="0" fontId="33" fillId="24" borderId="23" xfId="34" applyFont="1" applyFill="1" applyBorder="1" applyAlignment="1">
      <alignment vertical="center"/>
    </xf>
    <xf numFmtId="0" fontId="47" fillId="24" borderId="5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8" fillId="24" borderId="0" xfId="0" applyFont="1" applyFill="1" applyBorder="1" applyAlignment="1">
      <alignment vertical="center"/>
    </xf>
    <xf numFmtId="0" fontId="45" fillId="24" borderId="0" xfId="34" applyFont="1" applyFill="1" applyBorder="1" applyAlignment="1">
      <alignment vertical="center"/>
    </xf>
    <xf numFmtId="0" fontId="36" fillId="29" borderId="46" xfId="34" applyFont="1" applyFill="1" applyBorder="1" applyAlignment="1">
      <alignment vertical="center"/>
    </xf>
    <xf numFmtId="0" fontId="36" fillId="29" borderId="0" xfId="34" applyFont="1" applyFill="1" applyBorder="1" applyAlignment="1">
      <alignment vertical="center"/>
    </xf>
    <xf numFmtId="0" fontId="24" fillId="29" borderId="0" xfId="34" applyFont="1" applyFill="1" applyBorder="1" applyAlignment="1">
      <alignment horizontal="center" vertical="center"/>
    </xf>
    <xf numFmtId="0" fontId="24" fillId="29" borderId="45" xfId="0" applyFont="1" applyFill="1" applyBorder="1" applyAlignment="1">
      <alignment horizontal="center" vertical="center"/>
    </xf>
    <xf numFmtId="0" fontId="28" fillId="24" borderId="23" xfId="34" applyFont="1" applyFill="1" applyBorder="1" applyAlignment="1">
      <alignment horizontal="center" vertical="center"/>
    </xf>
    <xf numFmtId="0" fontId="48" fillId="24" borderId="53" xfId="0" applyFont="1" applyFill="1" applyBorder="1" applyAlignment="1">
      <alignment vertical="center"/>
    </xf>
    <xf numFmtId="0" fontId="2" fillId="28" borderId="4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0" xfId="34" applyFont="1" applyFill="1" applyBorder="1" applyAlignment="1">
      <alignment vertical="center"/>
    </xf>
    <xf numFmtId="0" fontId="23" fillId="24" borderId="0" xfId="34" applyFont="1" applyFill="1" applyBorder="1" applyAlignment="1">
      <alignment horizontal="center" vertical="center"/>
    </xf>
    <xf numFmtId="0" fontId="52" fillId="24" borderId="0" xfId="0" applyFont="1" applyFill="1" applyBorder="1" applyAlignment="1">
      <alignment horizontal="center" vertical="center"/>
    </xf>
    <xf numFmtId="0" fontId="24" fillId="25" borderId="46" xfId="34" applyFont="1" applyFill="1" applyBorder="1" applyAlignment="1">
      <alignment vertical="center"/>
    </xf>
    <xf numFmtId="0" fontId="36" fillId="25" borderId="0" xfId="34" applyFont="1" applyFill="1" applyBorder="1" applyAlignment="1">
      <alignment vertical="center"/>
    </xf>
    <xf numFmtId="0" fontId="36" fillId="25" borderId="45" xfId="34" applyFont="1" applyFill="1" applyBorder="1" applyAlignment="1">
      <alignment vertical="center"/>
    </xf>
    <xf numFmtId="0" fontId="23" fillId="24" borderId="23" xfId="34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5" fillId="29" borderId="46" xfId="34" applyFont="1" applyFill="1" applyBorder="1" applyAlignment="1">
      <alignment vertical="center"/>
    </xf>
    <xf numFmtId="0" fontId="44" fillId="29" borderId="0" xfId="34" applyFont="1" applyFill="1" applyBorder="1" applyAlignment="1">
      <alignment horizontal="center" vertical="center"/>
    </xf>
    <xf numFmtId="2" fontId="36" fillId="29" borderId="0" xfId="0" applyNumberFormat="1" applyFont="1" applyFill="1" applyBorder="1" applyAlignment="1">
      <alignment horizontal="center" vertical="center"/>
    </xf>
    <xf numFmtId="2" fontId="36" fillId="29" borderId="0" xfId="34" applyNumberFormat="1" applyFont="1" applyFill="1" applyBorder="1" applyAlignment="1">
      <alignment horizontal="center" vertical="center"/>
    </xf>
    <xf numFmtId="165" fontId="33" fillId="29" borderId="45" xfId="34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3" fillId="28" borderId="41" xfId="0" applyFont="1" applyFill="1" applyBorder="1" applyAlignment="1">
      <alignment horizontal="center" vertical="center"/>
    </xf>
    <xf numFmtId="0" fontId="25" fillId="24" borderId="0" xfId="34" applyFont="1" applyFill="1" applyBorder="1" applyAlignment="1">
      <alignment horizontal="center" vertical="center"/>
    </xf>
    <xf numFmtId="0" fontId="44" fillId="25" borderId="0" xfId="34" applyFont="1" applyFill="1" applyBorder="1" applyAlignment="1">
      <alignment horizontal="center" vertical="center"/>
    </xf>
    <xf numFmtId="0" fontId="36" fillId="25" borderId="0" xfId="34" applyFont="1" applyFill="1" applyBorder="1" applyAlignment="1">
      <alignment horizontal="center" vertical="center"/>
    </xf>
    <xf numFmtId="165" fontId="33" fillId="25" borderId="45" xfId="34" applyNumberFormat="1" applyFont="1" applyFill="1" applyBorder="1" applyAlignment="1">
      <alignment horizontal="center" vertical="center"/>
    </xf>
    <xf numFmtId="0" fontId="32" fillId="24" borderId="0" xfId="34" applyFont="1" applyFill="1" applyBorder="1" applyAlignment="1">
      <alignment vertical="center"/>
    </xf>
    <xf numFmtId="0" fontId="23" fillId="24" borderId="0" xfId="34" applyFont="1" applyFill="1" applyBorder="1" applyAlignment="1">
      <alignment vertical="center" wrapText="1"/>
    </xf>
    <xf numFmtId="0" fontId="36" fillId="29" borderId="0" xfId="0" applyFont="1" applyFill="1" applyBorder="1" applyAlignment="1">
      <alignment vertical="center"/>
    </xf>
    <xf numFmtId="165" fontId="36" fillId="29" borderId="0" xfId="0" applyNumberFormat="1" applyFont="1" applyFill="1" applyBorder="1" applyAlignment="1">
      <alignment horizontal="center" vertical="center"/>
    </xf>
    <xf numFmtId="165" fontId="36" fillId="29" borderId="0" xfId="34" applyNumberFormat="1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vertical="center"/>
    </xf>
    <xf numFmtId="2" fontId="23" fillId="24" borderId="0" xfId="34" applyNumberFormat="1" applyFont="1" applyFill="1" applyBorder="1" applyAlignment="1">
      <alignment horizontal="center" vertical="center"/>
    </xf>
    <xf numFmtId="2" fontId="47" fillId="24" borderId="53" xfId="34" applyNumberFormat="1" applyFont="1" applyFill="1" applyBorder="1" applyAlignment="1">
      <alignment vertical="center"/>
    </xf>
    <xf numFmtId="2" fontId="2" fillId="0" borderId="0" xfId="34" applyNumberFormat="1" applyFont="1" applyFill="1" applyBorder="1" applyAlignment="1">
      <alignment horizontal="center" vertical="center"/>
    </xf>
    <xf numFmtId="2" fontId="25" fillId="24" borderId="0" xfId="34" applyNumberFormat="1" applyFont="1" applyFill="1" applyBorder="1" applyAlignment="1">
      <alignment horizontal="center" vertical="center"/>
    </xf>
    <xf numFmtId="165" fontId="23" fillId="24" borderId="0" xfId="34" applyNumberFormat="1" applyFont="1" applyFill="1" applyBorder="1" applyAlignment="1">
      <alignment horizontal="center" vertical="center"/>
    </xf>
    <xf numFmtId="2" fontId="48" fillId="0" borderId="53" xfId="34" applyNumberFormat="1" applyFont="1" applyBorder="1" applyAlignment="1">
      <alignment vertical="center"/>
    </xf>
    <xf numFmtId="1" fontId="2" fillId="24" borderId="11" xfId="34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48" fillId="24" borderId="53" xfId="34" applyFont="1" applyFill="1" applyBorder="1" applyAlignment="1">
      <alignment vertical="center"/>
    </xf>
    <xf numFmtId="2" fontId="2" fillId="28" borderId="41" xfId="34" applyNumberFormat="1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2" fillId="28" borderId="41" xfId="34" applyFont="1" applyFill="1" applyBorder="1" applyAlignment="1">
      <alignment horizontal="center" vertical="center"/>
    </xf>
    <xf numFmtId="0" fontId="52" fillId="24" borderId="0" xfId="34" applyFont="1" applyFill="1" applyBorder="1" applyAlignment="1">
      <alignment horizontal="center" vertical="center"/>
    </xf>
    <xf numFmtId="0" fontId="42" fillId="24" borderId="0" xfId="34" applyFont="1" applyFill="1" applyBorder="1" applyAlignment="1">
      <alignment vertical="center"/>
    </xf>
    <xf numFmtId="0" fontId="26" fillId="24" borderId="0" xfId="34" applyFont="1" applyFill="1" applyBorder="1" applyAlignment="1">
      <alignment horizontal="center" vertical="center"/>
    </xf>
    <xf numFmtId="0" fontId="32" fillId="24" borderId="0" xfId="34" applyFont="1" applyFill="1" applyBorder="1" applyAlignment="1">
      <alignment horizontal="center" vertical="center"/>
    </xf>
    <xf numFmtId="2" fontId="23" fillId="24" borderId="0" xfId="34" applyNumberFormat="1" applyFont="1" applyFill="1" applyBorder="1" applyAlignment="1">
      <alignment vertical="center"/>
    </xf>
    <xf numFmtId="0" fontId="23" fillId="25" borderId="42" xfId="34" applyFont="1" applyFill="1" applyBorder="1" applyAlignment="1">
      <alignment horizontal="left" vertical="center"/>
    </xf>
    <xf numFmtId="0" fontId="23" fillId="25" borderId="43" xfId="34" applyFont="1" applyFill="1" applyBorder="1" applyAlignment="1">
      <alignment horizontal="center" vertical="center"/>
    </xf>
    <xf numFmtId="164" fontId="36" fillId="29" borderId="0" xfId="0" applyNumberFormat="1" applyFont="1" applyFill="1" applyBorder="1" applyAlignment="1">
      <alignment horizontal="center" vertical="center"/>
    </xf>
    <xf numFmtId="164" fontId="36" fillId="29" borderId="0" xfId="34" applyNumberFormat="1" applyFont="1" applyFill="1" applyBorder="1" applyAlignment="1">
      <alignment horizontal="center" vertical="center"/>
    </xf>
    <xf numFmtId="165" fontId="36" fillId="29" borderId="0" xfId="35" applyNumberFormat="1" applyFont="1" applyFill="1" applyBorder="1" applyAlignment="1">
      <alignment horizontal="center" vertical="center"/>
    </xf>
    <xf numFmtId="0" fontId="47" fillId="0" borderId="53" xfId="34" applyFont="1" applyFill="1" applyBorder="1" applyAlignment="1">
      <alignment vertical="center"/>
    </xf>
    <xf numFmtId="9" fontId="36" fillId="25" borderId="0" xfId="35" applyFont="1" applyFill="1" applyBorder="1" applyAlignment="1">
      <alignment horizontal="center" vertical="center"/>
    </xf>
    <xf numFmtId="0" fontId="25" fillId="29" borderId="56" xfId="34" applyFont="1" applyFill="1" applyBorder="1" applyAlignment="1">
      <alignment vertical="center"/>
    </xf>
    <xf numFmtId="0" fontId="36" fillId="29" borderId="47" xfId="0" applyFont="1" applyFill="1" applyBorder="1" applyAlignment="1">
      <alignment vertical="center"/>
    </xf>
    <xf numFmtId="165" fontId="36" fillId="29" borderId="47" xfId="0" applyNumberFormat="1" applyFont="1" applyFill="1" applyBorder="1" applyAlignment="1">
      <alignment horizontal="center" vertical="center"/>
    </xf>
    <xf numFmtId="165" fontId="36" fillId="29" borderId="47" xfId="35" applyNumberFormat="1" applyFont="1" applyFill="1" applyBorder="1" applyAlignment="1">
      <alignment horizontal="center" vertical="center"/>
    </xf>
    <xf numFmtId="165" fontId="33" fillId="29" borderId="51" xfId="34" applyNumberFormat="1" applyFont="1" applyFill="1" applyBorder="1" applyAlignment="1">
      <alignment horizontal="center" vertical="center"/>
    </xf>
    <xf numFmtId="0" fontId="25" fillId="24" borderId="53" xfId="34" applyFont="1" applyFill="1" applyBorder="1" applyAlignment="1">
      <alignment vertical="center"/>
    </xf>
    <xf numFmtId="0" fontId="23" fillId="0" borderId="0" xfId="34" applyFont="1" applyFill="1" applyBorder="1" applyAlignment="1">
      <alignment vertical="center"/>
    </xf>
    <xf numFmtId="0" fontId="37" fillId="26" borderId="29" xfId="34" applyFont="1" applyFill="1" applyBorder="1" applyAlignment="1">
      <alignment vertical="center"/>
    </xf>
    <xf numFmtId="0" fontId="23" fillId="26" borderId="28" xfId="34" applyFont="1" applyFill="1" applyBorder="1" applyAlignment="1">
      <alignment vertical="center"/>
    </xf>
    <xf numFmtId="0" fontId="25" fillId="26" borderId="28" xfId="34" applyFont="1" applyFill="1" applyBorder="1" applyAlignment="1">
      <alignment vertical="center"/>
    </xf>
    <xf numFmtId="0" fontId="23" fillId="26" borderId="28" xfId="34" applyFont="1" applyFill="1" applyBorder="1" applyAlignment="1">
      <alignment horizontal="center" vertical="center"/>
    </xf>
    <xf numFmtId="2" fontId="23" fillId="26" borderId="28" xfId="34" applyNumberFormat="1" applyFont="1" applyFill="1" applyBorder="1" applyAlignment="1">
      <alignment horizontal="center" vertical="center"/>
    </xf>
    <xf numFmtId="0" fontId="32" fillId="26" borderId="28" xfId="34" applyFont="1" applyFill="1" applyBorder="1" applyAlignment="1">
      <alignment horizontal="left" vertical="center"/>
    </xf>
    <xf numFmtId="0" fontId="0" fillId="26" borderId="28" xfId="0" applyFill="1" applyBorder="1" applyAlignment="1">
      <alignment vertical="center"/>
    </xf>
    <xf numFmtId="0" fontId="0" fillId="26" borderId="30" xfId="0" applyFill="1" applyBorder="1" applyAlignment="1">
      <alignment vertical="center"/>
    </xf>
    <xf numFmtId="0" fontId="38" fillId="24" borderId="0" xfId="0" applyFont="1" applyFill="1" applyAlignment="1">
      <alignment vertical="center"/>
    </xf>
    <xf numFmtId="0" fontId="24" fillId="26" borderId="57" xfId="34" applyFont="1" applyFill="1" applyBorder="1" applyAlignment="1">
      <alignment vertical="center"/>
    </xf>
    <xf numFmtId="0" fontId="27" fillId="26" borderId="24" xfId="34" applyFont="1" applyFill="1" applyBorder="1" applyAlignment="1">
      <alignment vertical="center"/>
    </xf>
    <xf numFmtId="0" fontId="24" fillId="26" borderId="24" xfId="34" applyFont="1" applyFill="1" applyBorder="1" applyAlignment="1">
      <alignment vertical="center"/>
    </xf>
    <xf numFmtId="0" fontId="24" fillId="26" borderId="24" xfId="34" applyFont="1" applyFill="1" applyBorder="1" applyAlignment="1">
      <alignment horizontal="center" vertical="center"/>
    </xf>
    <xf numFmtId="0" fontId="33" fillId="26" borderId="25" xfId="34" applyFont="1" applyFill="1" applyBorder="1" applyAlignment="1">
      <alignment horizontal="center" vertical="center"/>
    </xf>
    <xf numFmtId="0" fontId="27" fillId="25" borderId="19" xfId="34" applyFont="1" applyFill="1" applyBorder="1" applyAlignment="1">
      <alignment vertical="center"/>
    </xf>
    <xf numFmtId="0" fontId="36" fillId="24" borderId="53" xfId="34" applyFont="1" applyFill="1" applyBorder="1" applyAlignment="1">
      <alignment vertical="center"/>
    </xf>
    <xf numFmtId="0" fontId="24" fillId="24" borderId="0" xfId="34" applyFont="1" applyFill="1" applyBorder="1" applyAlignment="1">
      <alignment vertical="center"/>
    </xf>
    <xf numFmtId="166" fontId="23" fillId="27" borderId="35" xfId="34" applyNumberFormat="1" applyFont="1" applyFill="1" applyBorder="1" applyAlignment="1">
      <alignment horizontal="center" vertical="center"/>
    </xf>
    <xf numFmtId="166" fontId="23" fillId="27" borderId="36" xfId="34" applyNumberFormat="1" applyFont="1" applyFill="1" applyBorder="1" applyAlignment="1">
      <alignment horizontal="center" vertical="center"/>
    </xf>
    <xf numFmtId="166" fontId="23" fillId="27" borderId="37" xfId="34" applyNumberFormat="1" applyFont="1" applyFill="1" applyBorder="1" applyAlignment="1">
      <alignment horizontal="center" vertical="center"/>
    </xf>
    <xf numFmtId="1" fontId="33" fillId="24" borderId="23" xfId="34" applyNumberFormat="1" applyFont="1" applyFill="1" applyBorder="1" applyAlignment="1">
      <alignment horizontal="center" vertical="center"/>
    </xf>
    <xf numFmtId="1" fontId="23" fillId="24" borderId="38" xfId="34" applyNumberFormat="1" applyFont="1" applyFill="1" applyBorder="1" applyAlignment="1">
      <alignment horizontal="center" vertical="center"/>
    </xf>
    <xf numFmtId="1" fontId="23" fillId="24" borderId="39" xfId="34" applyNumberFormat="1" applyFont="1" applyFill="1" applyBorder="1" applyAlignment="1">
      <alignment horizontal="center" vertical="center"/>
    </xf>
    <xf numFmtId="1" fontId="23" fillId="24" borderId="40" xfId="34" applyNumberFormat="1" applyFont="1" applyFill="1" applyBorder="1" applyAlignment="1">
      <alignment horizontal="center" vertical="center"/>
    </xf>
    <xf numFmtId="165" fontId="23" fillId="27" borderId="20" xfId="34" applyNumberFormat="1" applyFont="1" applyFill="1" applyBorder="1" applyAlignment="1">
      <alignment horizontal="center" vertical="center"/>
    </xf>
    <xf numFmtId="165" fontId="23" fillId="27" borderId="0" xfId="34" applyNumberFormat="1" applyFont="1" applyFill="1" applyBorder="1" applyAlignment="1">
      <alignment horizontal="center" vertical="center"/>
    </xf>
    <xf numFmtId="165" fontId="23" fillId="27" borderId="21" xfId="34" applyNumberFormat="1" applyFont="1" applyFill="1" applyBorder="1" applyAlignment="1">
      <alignment horizontal="center" vertical="center"/>
    </xf>
    <xf numFmtId="165" fontId="33" fillId="24" borderId="23" xfId="34" applyNumberFormat="1" applyFont="1" applyFill="1" applyBorder="1" applyAlignment="1">
      <alignment horizontal="center" vertical="center"/>
    </xf>
    <xf numFmtId="165" fontId="23" fillId="25" borderId="19" xfId="34" applyNumberFormat="1" applyFont="1" applyFill="1" applyBorder="1" applyAlignment="1">
      <alignment horizontal="center" vertical="center"/>
    </xf>
    <xf numFmtId="165" fontId="33" fillId="25" borderId="22" xfId="34" applyNumberFormat="1" applyFont="1" applyFill="1" applyBorder="1" applyAlignment="1">
      <alignment vertical="center"/>
    </xf>
    <xf numFmtId="165" fontId="23" fillId="27" borderId="17" xfId="34" applyNumberFormat="1" applyFont="1" applyFill="1" applyBorder="1" applyAlignment="1">
      <alignment horizontal="center" vertical="center"/>
    </xf>
    <xf numFmtId="165" fontId="23" fillId="27" borderId="11" xfId="34" applyNumberFormat="1" applyFont="1" applyFill="1" applyBorder="1" applyAlignment="1">
      <alignment horizontal="center" vertical="center"/>
    </xf>
    <xf numFmtId="165" fontId="23" fillId="27" borderId="18" xfId="34" applyNumberFormat="1" applyFont="1" applyFill="1" applyBorder="1" applyAlignment="1">
      <alignment horizontal="center" vertical="center"/>
    </xf>
    <xf numFmtId="165" fontId="23" fillId="27" borderId="13" xfId="34" applyNumberFormat="1" applyFont="1" applyFill="1" applyBorder="1" applyAlignment="1">
      <alignment horizontal="center" vertical="center"/>
    </xf>
    <xf numFmtId="165" fontId="23" fillId="27" borderId="10" xfId="34" applyNumberFormat="1" applyFont="1" applyFill="1" applyBorder="1" applyAlignment="1">
      <alignment horizontal="center" vertical="center"/>
    </xf>
    <xf numFmtId="165" fontId="23" fillId="27" borderId="14" xfId="34" applyNumberFormat="1" applyFont="1" applyFill="1" applyBorder="1" applyAlignment="1">
      <alignment horizontal="center" vertical="center"/>
    </xf>
    <xf numFmtId="20" fontId="25" fillId="24" borderId="0" xfId="34" applyNumberFormat="1" applyFont="1" applyFill="1" applyBorder="1" applyAlignment="1">
      <alignment vertical="center"/>
    </xf>
    <xf numFmtId="165" fontId="23" fillId="27" borderId="15" xfId="34" applyNumberFormat="1" applyFont="1" applyFill="1" applyBorder="1" applyAlignment="1">
      <alignment horizontal="center" vertical="center"/>
    </xf>
    <xf numFmtId="165" fontId="23" fillId="27" borderId="12" xfId="34" applyNumberFormat="1" applyFont="1" applyFill="1" applyBorder="1" applyAlignment="1">
      <alignment horizontal="center" vertical="center"/>
    </xf>
    <xf numFmtId="165" fontId="23" fillId="27" borderId="16" xfId="34" applyNumberFormat="1" applyFont="1" applyFill="1" applyBorder="1" applyAlignment="1">
      <alignment horizontal="center" vertical="center"/>
    </xf>
    <xf numFmtId="165" fontId="33" fillId="25" borderId="22" xfId="34" applyNumberFormat="1" applyFont="1" applyFill="1" applyBorder="1" applyAlignment="1">
      <alignment horizontal="center" vertical="center"/>
    </xf>
    <xf numFmtId="0" fontId="33" fillId="25" borderId="22" xfId="34" applyFont="1" applyFill="1" applyBorder="1" applyAlignment="1">
      <alignment horizontal="center" vertical="center"/>
    </xf>
    <xf numFmtId="0" fontId="0" fillId="26" borderId="29" xfId="0" applyFill="1" applyBorder="1" applyAlignment="1">
      <alignment vertical="center"/>
    </xf>
    <xf numFmtId="0" fontId="1" fillId="26" borderId="28" xfId="0" applyFont="1" applyFill="1" applyBorder="1" applyAlignment="1">
      <alignment vertical="center"/>
    </xf>
    <xf numFmtId="0" fontId="38" fillId="26" borderId="28" xfId="0" applyFont="1" applyFill="1" applyBorder="1" applyAlignment="1">
      <alignment vertical="center"/>
    </xf>
    <xf numFmtId="0" fontId="34" fillId="24" borderId="0" xfId="34" applyFont="1" applyFill="1" applyAlignment="1">
      <alignment vertical="center"/>
    </xf>
    <xf numFmtId="0" fontId="12" fillId="24" borderId="0" xfId="34" applyFont="1" applyFill="1" applyAlignment="1">
      <alignment vertical="center"/>
    </xf>
    <xf numFmtId="0" fontId="12" fillId="24" borderId="0" xfId="34" applyFont="1" applyFill="1" applyAlignment="1">
      <alignment horizontal="center" vertical="center"/>
    </xf>
    <xf numFmtId="2" fontId="22" fillId="24" borderId="0" xfId="34" applyNumberFormat="1" applyFont="1" applyFill="1" applyAlignment="1">
      <alignment vertical="center"/>
    </xf>
    <xf numFmtId="0" fontId="35" fillId="24" borderId="0" xfId="34" applyFont="1" applyFill="1" applyAlignment="1">
      <alignment vertical="center"/>
    </xf>
    <xf numFmtId="0" fontId="25" fillId="26" borderId="26" xfId="34" applyFont="1" applyFill="1" applyBorder="1" applyAlignment="1">
      <alignment vertical="center"/>
    </xf>
    <xf numFmtId="0" fontId="25" fillId="26" borderId="26" xfId="34" applyFont="1" applyFill="1" applyBorder="1" applyAlignment="1">
      <alignment horizontal="center" vertical="center"/>
    </xf>
    <xf numFmtId="0" fontId="24" fillId="26" borderId="26" xfId="34" applyFont="1" applyFill="1" applyBorder="1" applyAlignment="1">
      <alignment horizontal="center" vertical="center"/>
    </xf>
    <xf numFmtId="2" fontId="23" fillId="25" borderId="19" xfId="34" applyNumberFormat="1" applyFont="1" applyFill="1" applyBorder="1" applyAlignment="1">
      <alignment vertical="center"/>
    </xf>
    <xf numFmtId="165" fontId="23" fillId="24" borderId="17" xfId="34" applyNumberFormat="1" applyFont="1" applyFill="1" applyBorder="1" applyAlignment="1">
      <alignment horizontal="center" vertical="center"/>
    </xf>
    <xf numFmtId="165" fontId="23" fillId="24" borderId="11" xfId="34" applyNumberFormat="1" applyFont="1" applyFill="1" applyBorder="1" applyAlignment="1">
      <alignment horizontal="center" vertical="center"/>
    </xf>
    <xf numFmtId="165" fontId="23" fillId="24" borderId="18" xfId="34" applyNumberFormat="1" applyFont="1" applyFill="1" applyBorder="1" applyAlignment="1">
      <alignment horizontal="center" vertical="center"/>
    </xf>
    <xf numFmtId="165" fontId="23" fillId="24" borderId="13" xfId="34" applyNumberFormat="1" applyFont="1" applyFill="1" applyBorder="1" applyAlignment="1">
      <alignment horizontal="center" vertical="center"/>
    </xf>
    <xf numFmtId="165" fontId="23" fillId="24" borderId="10" xfId="34" applyNumberFormat="1" applyFont="1" applyFill="1" applyBorder="1" applyAlignment="1">
      <alignment horizontal="center" vertical="center"/>
    </xf>
    <xf numFmtId="165" fontId="23" fillId="24" borderId="14" xfId="34" applyNumberFormat="1" applyFont="1" applyFill="1" applyBorder="1" applyAlignment="1">
      <alignment horizontal="center" vertical="center"/>
    </xf>
    <xf numFmtId="165" fontId="23" fillId="24" borderId="15" xfId="34" applyNumberFormat="1" applyFont="1" applyFill="1" applyBorder="1" applyAlignment="1">
      <alignment horizontal="center" vertical="center"/>
    </xf>
    <xf numFmtId="165" fontId="23" fillId="24" borderId="12" xfId="34" applyNumberFormat="1" applyFont="1" applyFill="1" applyBorder="1" applyAlignment="1">
      <alignment horizontal="center" vertical="center"/>
    </xf>
    <xf numFmtId="165" fontId="23" fillId="24" borderId="16" xfId="34" applyNumberFormat="1" applyFont="1" applyFill="1" applyBorder="1" applyAlignment="1">
      <alignment horizontal="center" vertical="center"/>
    </xf>
    <xf numFmtId="2" fontId="23" fillId="25" borderId="19" xfId="34" applyNumberFormat="1" applyFont="1" applyFill="1" applyBorder="1" applyAlignment="1">
      <alignment horizontal="center" vertical="center"/>
    </xf>
    <xf numFmtId="2" fontId="23" fillId="24" borderId="17" xfId="34" applyNumberFormat="1" applyFont="1" applyFill="1" applyBorder="1" applyAlignment="1">
      <alignment horizontal="center" vertical="center"/>
    </xf>
    <xf numFmtId="2" fontId="23" fillId="24" borderId="11" xfId="34" applyNumberFormat="1" applyFont="1" applyFill="1" applyBorder="1" applyAlignment="1">
      <alignment horizontal="center" vertical="center"/>
    </xf>
    <xf numFmtId="2" fontId="23" fillId="24" borderId="18" xfId="34" applyNumberFormat="1" applyFont="1" applyFill="1" applyBorder="1" applyAlignment="1">
      <alignment horizontal="center" vertical="center"/>
    </xf>
    <xf numFmtId="2" fontId="33" fillId="24" borderId="23" xfId="34" applyNumberFormat="1" applyFont="1" applyFill="1" applyBorder="1" applyAlignment="1">
      <alignment horizontal="center" vertical="center"/>
    </xf>
    <xf numFmtId="2" fontId="23" fillId="24" borderId="13" xfId="34" applyNumberFormat="1" applyFont="1" applyFill="1" applyBorder="1" applyAlignment="1">
      <alignment horizontal="center" vertical="center"/>
    </xf>
    <xf numFmtId="2" fontId="23" fillId="24" borderId="10" xfId="34" applyNumberFormat="1" applyFont="1" applyFill="1" applyBorder="1" applyAlignment="1">
      <alignment horizontal="center" vertical="center"/>
    </xf>
    <xf numFmtId="2" fontId="23" fillId="24" borderId="14" xfId="34" applyNumberFormat="1" applyFont="1" applyFill="1" applyBorder="1" applyAlignment="1">
      <alignment horizontal="center" vertical="center"/>
    </xf>
    <xf numFmtId="2" fontId="23" fillId="24" borderId="15" xfId="34" applyNumberFormat="1" applyFont="1" applyFill="1" applyBorder="1" applyAlignment="1">
      <alignment horizontal="center" vertical="center"/>
    </xf>
    <xf numFmtId="2" fontId="23" fillId="24" borderId="12" xfId="34" applyNumberFormat="1" applyFont="1" applyFill="1" applyBorder="1" applyAlignment="1">
      <alignment horizontal="center" vertical="center"/>
    </xf>
    <xf numFmtId="2" fontId="23" fillId="24" borderId="16" xfId="34" applyNumberFormat="1" applyFont="1" applyFill="1" applyBorder="1" applyAlignment="1">
      <alignment horizontal="center" vertical="center"/>
    </xf>
    <xf numFmtId="0" fontId="36" fillId="25" borderId="22" xfId="34" applyFont="1" applyFill="1" applyBorder="1" applyAlignment="1">
      <alignment vertical="center"/>
    </xf>
    <xf numFmtId="2" fontId="23" fillId="24" borderId="20" xfId="34" applyNumberFormat="1" applyFont="1" applyFill="1" applyBorder="1" applyAlignment="1">
      <alignment horizontal="center" vertical="center"/>
    </xf>
    <xf numFmtId="2" fontId="23" fillId="24" borderId="21" xfId="34" applyNumberFormat="1" applyFont="1" applyFill="1" applyBorder="1" applyAlignment="1">
      <alignment horizontal="center" vertical="center"/>
    </xf>
    <xf numFmtId="0" fontId="24" fillId="25" borderId="53" xfId="34" applyFont="1" applyFill="1" applyBorder="1" applyAlignment="1">
      <alignment vertical="center"/>
    </xf>
    <xf numFmtId="0" fontId="24" fillId="25" borderId="0" xfId="34" applyFont="1" applyFill="1" applyBorder="1" applyAlignment="1">
      <alignment vertical="center"/>
    </xf>
    <xf numFmtId="0" fontId="25" fillId="25" borderId="0" xfId="34" applyFont="1" applyFill="1" applyBorder="1" applyAlignment="1">
      <alignment horizontal="center" vertical="center"/>
    </xf>
    <xf numFmtId="2" fontId="23" fillId="25" borderId="0" xfId="34" applyNumberFormat="1" applyFont="1" applyFill="1" applyBorder="1" applyAlignment="1">
      <alignment horizontal="center" vertical="center"/>
    </xf>
    <xf numFmtId="0" fontId="36" fillId="25" borderId="23" xfId="34" applyFont="1" applyFill="1" applyBorder="1" applyAlignment="1">
      <alignment vertical="center"/>
    </xf>
    <xf numFmtId="0" fontId="36" fillId="25" borderId="22" xfId="34" applyFont="1" applyFill="1" applyBorder="1" applyAlignment="1">
      <alignment horizontal="center" vertical="center"/>
    </xf>
    <xf numFmtId="0" fontId="0" fillId="26" borderId="31" xfId="0" applyFill="1" applyBorder="1" applyAlignment="1">
      <alignment vertical="center"/>
    </xf>
    <xf numFmtId="0" fontId="1" fillId="26" borderId="32" xfId="0" applyFont="1" applyFill="1" applyBorder="1" applyAlignment="1">
      <alignment vertical="center"/>
    </xf>
    <xf numFmtId="0" fontId="38" fillId="26" borderId="32" xfId="0" applyFont="1" applyFill="1" applyBorder="1" applyAlignment="1">
      <alignment vertical="center"/>
    </xf>
    <xf numFmtId="0" fontId="0" fillId="26" borderId="32" xfId="0" applyFill="1" applyBorder="1" applyAlignment="1">
      <alignment vertical="center"/>
    </xf>
    <xf numFmtId="0" fontId="0" fillId="26" borderId="33" xfId="0" applyFill="1" applyBorder="1" applyAlignment="1">
      <alignment vertical="center"/>
    </xf>
    <xf numFmtId="0" fontId="0" fillId="31" borderId="0" xfId="0" applyFill="1" applyAlignment="1">
      <alignment vertical="center"/>
    </xf>
    <xf numFmtId="0" fontId="38" fillId="31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6" fillId="32" borderId="53" xfId="34" applyFont="1" applyFill="1" applyBorder="1" applyAlignment="1">
      <alignment vertical="center"/>
    </xf>
    <xf numFmtId="0" fontId="25" fillId="32" borderId="0" xfId="34" applyFont="1" applyFill="1" applyBorder="1" applyAlignment="1">
      <alignment vertical="center"/>
    </xf>
    <xf numFmtId="0" fontId="25" fillId="32" borderId="0" xfId="34" applyFont="1" applyFill="1" applyBorder="1" applyAlignment="1">
      <alignment horizontal="center" vertical="center"/>
    </xf>
    <xf numFmtId="165" fontId="23" fillId="33" borderId="13" xfId="34" applyNumberFormat="1" applyFont="1" applyFill="1" applyBorder="1" applyAlignment="1">
      <alignment horizontal="center" vertical="center"/>
    </xf>
    <xf numFmtId="165" fontId="23" fillId="33" borderId="10" xfId="34" applyNumberFormat="1" applyFont="1" applyFill="1" applyBorder="1" applyAlignment="1">
      <alignment horizontal="center" vertical="center"/>
    </xf>
    <xf numFmtId="165" fontId="23" fillId="33" borderId="14" xfId="34" applyNumberFormat="1" applyFont="1" applyFill="1" applyBorder="1" applyAlignment="1">
      <alignment horizontal="center" vertical="center"/>
    </xf>
    <xf numFmtId="165" fontId="33" fillId="32" borderId="23" xfId="34" applyNumberFormat="1" applyFont="1" applyFill="1" applyBorder="1" applyAlignment="1">
      <alignment horizontal="center" vertical="center"/>
    </xf>
    <xf numFmtId="0" fontId="36" fillId="34" borderId="53" xfId="34" applyFont="1" applyFill="1" applyBorder="1" applyAlignment="1">
      <alignment vertical="center"/>
    </xf>
    <xf numFmtId="0" fontId="25" fillId="34" borderId="0" xfId="34" applyFont="1" applyFill="1" applyBorder="1" applyAlignment="1">
      <alignment vertical="center"/>
    </xf>
    <xf numFmtId="0" fontId="25" fillId="34" borderId="0" xfId="34" applyFont="1" applyFill="1" applyBorder="1" applyAlignment="1">
      <alignment horizontal="center" vertical="center"/>
    </xf>
    <xf numFmtId="165" fontId="23" fillId="35" borderId="13" xfId="34" applyNumberFormat="1" applyFont="1" applyFill="1" applyBorder="1" applyAlignment="1">
      <alignment horizontal="center" vertical="center"/>
    </xf>
    <xf numFmtId="165" fontId="23" fillId="35" borderId="10" xfId="34" applyNumberFormat="1" applyFont="1" applyFill="1" applyBorder="1" applyAlignment="1">
      <alignment horizontal="center" vertical="center"/>
    </xf>
    <xf numFmtId="165" fontId="23" fillId="35" borderId="14" xfId="34" applyNumberFormat="1" applyFont="1" applyFill="1" applyBorder="1" applyAlignment="1">
      <alignment horizontal="center" vertical="center"/>
    </xf>
    <xf numFmtId="165" fontId="33" fillId="34" borderId="23" xfId="34" applyNumberFormat="1" applyFont="1" applyFill="1" applyBorder="1" applyAlignment="1">
      <alignment horizontal="center" vertical="center"/>
    </xf>
    <xf numFmtId="20" fontId="25" fillId="34" borderId="0" xfId="34" applyNumberFormat="1" applyFont="1" applyFill="1" applyBorder="1" applyAlignment="1">
      <alignment vertical="center"/>
    </xf>
    <xf numFmtId="165" fontId="23" fillId="35" borderId="15" xfId="34" applyNumberFormat="1" applyFont="1" applyFill="1" applyBorder="1" applyAlignment="1">
      <alignment horizontal="center" vertical="center"/>
    </xf>
    <xf numFmtId="165" fontId="23" fillId="35" borderId="12" xfId="34" applyNumberFormat="1" applyFont="1" applyFill="1" applyBorder="1" applyAlignment="1">
      <alignment horizontal="center" vertical="center"/>
    </xf>
    <xf numFmtId="165" fontId="23" fillId="35" borderId="16" xfId="34" applyNumberFormat="1" applyFont="1" applyFill="1" applyBorder="1" applyAlignment="1">
      <alignment horizontal="center" vertical="center"/>
    </xf>
    <xf numFmtId="0" fontId="25" fillId="34" borderId="53" xfId="34" applyFont="1" applyFill="1" applyBorder="1" applyAlignment="1">
      <alignment vertical="center"/>
    </xf>
    <xf numFmtId="165" fontId="23" fillId="34" borderId="13" xfId="34" applyNumberFormat="1" applyFont="1" applyFill="1" applyBorder="1" applyAlignment="1">
      <alignment horizontal="center" vertical="center"/>
    </xf>
    <xf numFmtId="165" fontId="23" fillId="34" borderId="10" xfId="34" applyNumberFormat="1" applyFont="1" applyFill="1" applyBorder="1" applyAlignment="1">
      <alignment horizontal="center" vertical="center"/>
    </xf>
    <xf numFmtId="165" fontId="23" fillId="34" borderId="14" xfId="34" applyNumberFormat="1" applyFont="1" applyFill="1" applyBorder="1" applyAlignment="1">
      <alignment horizontal="center" vertical="center"/>
    </xf>
    <xf numFmtId="0" fontId="49" fillId="24" borderId="0" xfId="0" quotePrefix="1" applyFont="1" applyFill="1" applyAlignment="1">
      <alignment horizontal="right" vertical="center"/>
    </xf>
    <xf numFmtId="0" fontId="2" fillId="27" borderId="17" xfId="0" applyFont="1" applyFill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7" borderId="13" xfId="0" applyFont="1" applyFill="1" applyBorder="1" applyAlignment="1">
      <alignment horizontal="center" vertical="center"/>
    </xf>
    <xf numFmtId="0" fontId="2" fillId="27" borderId="14" xfId="0" applyFont="1" applyFill="1" applyBorder="1" applyAlignment="1">
      <alignment horizontal="center" vertical="center"/>
    </xf>
    <xf numFmtId="0" fontId="37" fillId="30" borderId="52" xfId="0" applyFont="1" applyFill="1" applyBorder="1" applyAlignment="1">
      <alignment horizontal="left" vertical="center" wrapText="1"/>
    </xf>
    <xf numFmtId="0" fontId="37" fillId="30" borderId="0" xfId="0" applyFont="1" applyFill="1" applyBorder="1" applyAlignment="1">
      <alignment horizontal="left" vertical="center" wrapText="1"/>
    </xf>
    <xf numFmtId="0" fontId="2" fillId="27" borderId="15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 2" xfId="32"/>
    <cellStyle name="Normal 3" xfId="33"/>
    <cellStyle name="Normal_MéGaPICS_Calcul_indicateurs_performances_qualités_v11_trame" xfId="34"/>
    <cellStyle name="Pourcentage" xfId="35" builtinId="5"/>
    <cellStyle name="Satisfaisant" xfId="36" builtinId="26" customBuiltin="1"/>
    <cellStyle name="Sortie" xfId="37" builtinId="21" customBuiltin="1"/>
    <cellStyle name="Texte explicatif" xfId="38" builtinId="53" customBuiltin="1"/>
    <cellStyle name="Titre" xfId="39" builtinId="15" customBuiltin="1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EF5F0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6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3695198329853862"/>
          <c:y val="9.1370558375634514E-2"/>
          <c:w val="0.52713987473903967"/>
          <c:h val="0.85448392554991537"/>
        </c:manualLayout>
      </c:layout>
      <c:radarChart>
        <c:radarStyle val="marker"/>
        <c:varyColors val="0"/>
        <c:ser>
          <c:idx val="0"/>
          <c:order val="0"/>
          <c:tx>
            <c:strRef>
              <c:f>Données!$C$9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(Données!$L$24:$L$26,Données!$L$28,Données!$L$30:$L$33,Données!$L$35,Données!$L$37,Données!$L$39,Données!$L$41:$L$42)</c:f>
              <c:strCache>
                <c:ptCount val="13"/>
                <c:pt idx="0">
                  <c:v>n stock chaud [-]</c:v>
                </c:pt>
                <c:pt idx="1">
                  <c:v>n stock froid [-]</c:v>
                </c:pt>
                <c:pt idx="2">
                  <c:v>COPth [-]</c:v>
                </c:pt>
                <c:pt idx="3">
                  <c:v>PER [-]</c:v>
                </c:pt>
                <c:pt idx="4">
                  <c:v>PSU [kWh/m²]</c:v>
                </c:pt>
                <c:pt idx="5">
                  <c:v>R sol [-]</c:v>
                </c:pt>
                <c:pt idx="6">
                  <c:v>R capt [-]</c:v>
                </c:pt>
                <c:pt idx="7">
                  <c:v>COP élec sol [-]</c:v>
                </c:pt>
                <c:pt idx="8">
                  <c:v>CE spé [l/kWh]</c:v>
                </c:pt>
                <c:pt idx="9">
                  <c:v>Coût kWh [€/kWh]</c:v>
                </c:pt>
                <c:pt idx="10">
                  <c:v>I confort [%]</c:v>
                </c:pt>
                <c:pt idx="11">
                  <c:v>I fct [%]</c:v>
                </c:pt>
                <c:pt idx="12">
                  <c:v>I données [%]</c:v>
                </c:pt>
              </c:strCache>
            </c:strRef>
          </c:cat>
          <c:val>
            <c:numRef>
              <c:f>(Données!$P$24:$P$26,Données!$P$28,Données!$P$30:$P$33,Données!$P$35,Données!$P$37,Données!$P$39,Données!$P$41:$P$42)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04368"/>
        <c:axId val="313803976"/>
      </c:radarChart>
      <c:catAx>
        <c:axId val="3138043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13803976"/>
        <c:crosses val="autoZero"/>
        <c:auto val="0"/>
        <c:lblAlgn val="ctr"/>
        <c:lblOffset val="100"/>
        <c:noMultiLvlLbl val="0"/>
      </c:catAx>
      <c:valAx>
        <c:axId val="313803976"/>
        <c:scaling>
          <c:orientation val="minMax"/>
          <c:max val="200"/>
          <c:min val="0"/>
        </c:scaling>
        <c:delete val="0"/>
        <c:axPos val="l"/>
        <c:majorGridlines>
          <c:spPr>
            <a:ln w="25400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ysDash"/>
            </a:ln>
          </c:spPr>
        </c:minorGridlines>
        <c:numFmt formatCode="0.0" sourceLinked="1"/>
        <c:majorTickMark val="cross"/>
        <c:minorTickMark val="none"/>
        <c:tickLblPos val="none"/>
        <c:spPr>
          <a:ln w="3175">
            <a:solidFill>
              <a:srgbClr val="808080"/>
            </a:solidFill>
            <a:prstDash val="sysDash"/>
          </a:ln>
        </c:spPr>
        <c:crossAx val="31380436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"/>
          <c:y val="1.6920473773265651E-3"/>
          <c:w val="3.0271398747390398E-2"/>
          <c:h val="4.56852791878172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ique2"/>
  <sheetViews>
    <sheetView zoomScale="115" workbookViewId="0"/>
  </sheetViews>
  <sheetProtection algorithmName="SHA-512" hashValue="ZSyAJzb/q168BivujnE8I2weUXqdFYa/QPRvC4s/rZjMd18u9oAuZUapmKUt/9wDMeE64L5iJ3mmOH4i6Ftd4Q==" saltValue="HnVlq4t3O5zffcXAW3V/1Q==" spinCount="100000" content="1" objects="1"/>
  <pageMargins left="0.78740157499999996" right="0.78740157499999996" top="0.984251969" bottom="0.984251969" header="0.4921259845" footer="0.4921259845"/>
  <pageSetup paperSize="9" orientation="landscape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558799</xdr:colOff>
      <xdr:row>0</xdr:row>
      <xdr:rowOff>54371</xdr:rowOff>
    </xdr:from>
    <xdr:to>
      <xdr:col>1</xdr:col>
      <xdr:colOff>2286800</xdr:colOff>
      <xdr:row>2</xdr:row>
      <xdr:rowOff>109340</xdr:rowOff>
    </xdr:to>
    <xdr:pic>
      <xdr:nvPicPr>
        <xdr:cNvPr id="3082" name="Picture 3" descr="Copie de logo megapi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10" t="10596" r="5568" b="10596"/>
        <a:stretch>
          <a:fillRect/>
        </a:stretch>
      </xdr:blipFill>
      <xdr:spPr bwMode="auto">
        <a:xfrm>
          <a:off x="638174" y="54371"/>
          <a:ext cx="1728001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1109264</xdr:colOff>
      <xdr:row>2</xdr:row>
      <xdr:rowOff>68261</xdr:rowOff>
    </xdr:from>
    <xdr:to>
      <xdr:col>1</xdr:col>
      <xdr:colOff>2513264</xdr:colOff>
      <xdr:row>5</xdr:row>
      <xdr:rowOff>60011</xdr:rowOff>
    </xdr:to>
    <xdr:pic>
      <xdr:nvPicPr>
        <xdr:cNvPr id="3085" name="Picture 2" descr="tn_LOGO_IN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639" y="445292"/>
          <a:ext cx="14040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547687</xdr:colOff>
      <xdr:row>2</xdr:row>
      <xdr:rowOff>156764</xdr:rowOff>
    </xdr:from>
    <xdr:to>
      <xdr:col>1</xdr:col>
      <xdr:colOff>1003467</xdr:colOff>
      <xdr:row>5</xdr:row>
      <xdr:rowOff>40514</xdr:rowOff>
    </xdr:to>
    <xdr:pic>
      <xdr:nvPicPr>
        <xdr:cNvPr id="3086" name="Picture 14" descr="CEA_ne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2" y="533795"/>
          <a:ext cx="45578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133350</xdr:colOff>
      <xdr:row>9</xdr:row>
      <xdr:rowOff>9525</xdr:rowOff>
    </xdr:from>
    <xdr:to>
      <xdr:col>16</xdr:col>
      <xdr:colOff>28574</xdr:colOff>
      <xdr:row>19</xdr:row>
      <xdr:rowOff>161925</xdr:rowOff>
    </xdr:to>
    <xdr:pic>
      <xdr:nvPicPr>
        <xdr:cNvPr id="30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714500"/>
          <a:ext cx="2752725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9</xdr:row>
      <xdr:rowOff>19050</xdr:rowOff>
    </xdr:from>
    <xdr:to>
      <xdr:col>9</xdr:col>
      <xdr:colOff>523875</xdr:colOff>
      <xdr:row>19</xdr:row>
      <xdr:rowOff>114300</xdr:rowOff>
    </xdr:to>
    <xdr:pic>
      <xdr:nvPicPr>
        <xdr:cNvPr id="30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724025"/>
          <a:ext cx="26860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19152" cy="563217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0.835</cdr:x>
      <cdr:y>0</cdr:y>
    </cdr:from>
    <cdr:to>
      <cdr:x>1</cdr:x>
      <cdr:y>0.05075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9333" y="0"/>
          <a:ext cx="1505617" cy="285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36576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INSTALLATION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R128"/>
  <sheetViews>
    <sheetView tabSelected="1" zoomScale="85" zoomScaleNormal="85" workbookViewId="0">
      <selection activeCell="B3" sqref="B3"/>
    </sheetView>
  </sheetViews>
  <sheetFormatPr baseColWidth="10" defaultColWidth="0" defaultRowHeight="12.75" zeroHeight="1"/>
  <cols>
    <col min="1" max="1" width="1.140625" style="4" customWidth="1"/>
    <col min="2" max="2" width="60.85546875" style="6" bestFit="1" customWidth="1"/>
    <col min="3" max="3" width="18.7109375" style="206" customWidth="1"/>
    <col min="4" max="4" width="8.7109375" style="206" bestFit="1" customWidth="1"/>
    <col min="5" max="16" width="8.5703125" style="6" customWidth="1"/>
    <col min="17" max="17" width="9.28515625" style="6" customWidth="1"/>
    <col min="18" max="18" width="2.42578125" style="4" customWidth="1"/>
    <col min="19" max="16384" width="0" style="6" hidden="1"/>
  </cols>
  <sheetData>
    <row r="1" spans="2:17"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17" ht="17.25">
      <c r="B2" s="4"/>
      <c r="C2" s="2" t="s">
        <v>155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"/>
    </row>
    <row r="3" spans="2:17">
      <c r="B3" s="4"/>
      <c r="C3" s="3" t="s">
        <v>230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4"/>
    </row>
    <row r="4" spans="2:17" ht="12.75" customHeight="1">
      <c r="B4" s="4"/>
      <c r="C4" s="1" t="s">
        <v>243</v>
      </c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4"/>
    </row>
    <row r="5" spans="2:17">
      <c r="B5" s="4"/>
      <c r="C5" s="1" t="s">
        <v>244</v>
      </c>
      <c r="D5" s="8"/>
      <c r="E5" s="8"/>
      <c r="F5" s="8"/>
      <c r="G5" s="8"/>
      <c r="H5" s="8"/>
      <c r="I5" s="8"/>
      <c r="J5" s="8"/>
      <c r="K5" s="8"/>
      <c r="L5" s="8"/>
      <c r="M5" s="229" t="s">
        <v>238</v>
      </c>
      <c r="N5" s="229"/>
      <c r="O5" s="229"/>
      <c r="P5" s="229"/>
      <c r="Q5" s="4"/>
    </row>
    <row r="6" spans="2:17" ht="13.5" thickBot="1">
      <c r="B6" s="4"/>
      <c r="C6" s="1"/>
      <c r="D6" s="10"/>
      <c r="E6" s="1"/>
      <c r="F6" s="1"/>
      <c r="G6" s="1"/>
      <c r="H6" s="1"/>
      <c r="I6" s="1"/>
      <c r="J6" s="1"/>
      <c r="K6" s="1"/>
      <c r="L6" s="1"/>
      <c r="M6" s="8"/>
      <c r="N6" s="8"/>
      <c r="O6" s="11"/>
      <c r="P6" s="12"/>
      <c r="Q6" s="4"/>
    </row>
    <row r="7" spans="2:17" ht="13.5" thickBot="1">
      <c r="B7" s="13" t="s">
        <v>0</v>
      </c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2:17" ht="13.5" thickBot="1">
      <c r="B8" s="18" t="s">
        <v>156</v>
      </c>
      <c r="C8" s="19"/>
      <c r="D8" s="20"/>
      <c r="E8" s="21"/>
      <c r="F8" s="22" t="s">
        <v>158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</row>
    <row r="9" spans="2:17">
      <c r="B9" s="25" t="s">
        <v>147</v>
      </c>
      <c r="C9" s="230"/>
      <c r="D9" s="231"/>
      <c r="E9" s="26"/>
      <c r="F9" s="27" t="s">
        <v>1</v>
      </c>
      <c r="G9" s="28"/>
      <c r="H9" s="29"/>
      <c r="I9" s="26"/>
      <c r="J9" s="28"/>
      <c r="K9" s="26"/>
      <c r="L9" s="27" t="s">
        <v>2</v>
      </c>
      <c r="M9" s="30"/>
      <c r="N9" s="30"/>
      <c r="O9" s="26"/>
      <c r="P9" s="26"/>
      <c r="Q9" s="31"/>
    </row>
    <row r="10" spans="2:17">
      <c r="B10" s="25" t="s">
        <v>148</v>
      </c>
      <c r="C10" s="232"/>
      <c r="D10" s="233"/>
      <c r="E10" s="26"/>
      <c r="F10" s="32"/>
      <c r="G10" s="32"/>
      <c r="H10" s="33"/>
      <c r="I10" s="30"/>
      <c r="J10" s="30"/>
      <c r="K10" s="30"/>
      <c r="L10" s="30"/>
      <c r="M10" s="30"/>
      <c r="N10" s="30"/>
      <c r="O10" s="26"/>
      <c r="P10" s="26"/>
      <c r="Q10" s="31"/>
    </row>
    <row r="11" spans="2:17">
      <c r="B11" s="25" t="s">
        <v>153</v>
      </c>
      <c r="C11" s="232"/>
      <c r="D11" s="233"/>
      <c r="E11" s="26"/>
      <c r="F11" s="32"/>
      <c r="G11" s="32"/>
      <c r="H11" s="33"/>
      <c r="I11" s="30"/>
      <c r="J11" s="30"/>
      <c r="K11" s="30"/>
      <c r="L11" s="30"/>
      <c r="M11" s="30"/>
      <c r="N11" s="30"/>
      <c r="O11" s="26"/>
      <c r="P11" s="26"/>
      <c r="Q11" s="31"/>
    </row>
    <row r="12" spans="2:17">
      <c r="B12" s="25" t="s">
        <v>149</v>
      </c>
      <c r="C12" s="232"/>
      <c r="D12" s="233"/>
      <c r="E12" s="26"/>
      <c r="F12" s="32"/>
      <c r="G12" s="32"/>
      <c r="H12" s="33"/>
      <c r="I12" s="30"/>
      <c r="J12" s="30"/>
      <c r="K12" s="30"/>
      <c r="L12" s="30"/>
      <c r="M12" s="30"/>
      <c r="N12" s="30"/>
      <c r="O12" s="26"/>
      <c r="P12" s="26"/>
      <c r="Q12" s="31"/>
    </row>
    <row r="13" spans="2:17">
      <c r="B13" s="25" t="s">
        <v>150</v>
      </c>
      <c r="C13" s="232"/>
      <c r="D13" s="233"/>
      <c r="E13" s="26"/>
      <c r="F13" s="32"/>
      <c r="G13" s="32"/>
      <c r="H13" s="33"/>
      <c r="I13" s="30"/>
      <c r="J13" s="30"/>
      <c r="K13" s="30"/>
      <c r="L13" s="30"/>
      <c r="M13" s="30"/>
      <c r="N13" s="30"/>
      <c r="O13" s="26"/>
      <c r="P13" s="26"/>
      <c r="Q13" s="31"/>
    </row>
    <row r="14" spans="2:17" ht="13.5" thickBot="1">
      <c r="B14" s="25" t="s">
        <v>154</v>
      </c>
      <c r="C14" s="236"/>
      <c r="D14" s="237"/>
      <c r="E14" s="26"/>
      <c r="F14" s="32"/>
      <c r="G14" s="32"/>
      <c r="H14" s="33"/>
      <c r="I14" s="30"/>
      <c r="J14" s="30"/>
      <c r="K14" s="30"/>
      <c r="L14" s="30"/>
      <c r="M14" s="30"/>
      <c r="N14" s="30"/>
      <c r="O14" s="26"/>
      <c r="P14" s="26"/>
      <c r="Q14" s="31"/>
    </row>
    <row r="15" spans="2:17" ht="13.5" thickBot="1">
      <c r="B15" s="18" t="s">
        <v>157</v>
      </c>
      <c r="C15" s="34"/>
      <c r="D15" s="35"/>
      <c r="E15" s="26"/>
      <c r="F15" s="32"/>
      <c r="G15" s="32"/>
      <c r="H15" s="33"/>
      <c r="I15" s="30"/>
      <c r="J15" s="30"/>
      <c r="K15" s="30"/>
      <c r="L15" s="30"/>
      <c r="M15" s="30"/>
      <c r="N15" s="30"/>
      <c r="O15" s="26"/>
      <c r="P15" s="26"/>
      <c r="Q15" s="31"/>
    </row>
    <row r="16" spans="2:17">
      <c r="B16" s="25" t="s">
        <v>151</v>
      </c>
      <c r="C16" s="230"/>
      <c r="D16" s="231"/>
      <c r="E16" s="26"/>
      <c r="F16" s="32"/>
      <c r="G16" s="32"/>
      <c r="H16" s="33"/>
      <c r="I16" s="30"/>
      <c r="J16" s="30"/>
      <c r="K16" s="30"/>
      <c r="L16" s="30"/>
      <c r="M16" s="30"/>
      <c r="N16" s="30"/>
      <c r="O16" s="26"/>
      <c r="P16" s="26"/>
      <c r="Q16" s="31"/>
    </row>
    <row r="17" spans="2:17">
      <c r="B17" s="36" t="s">
        <v>152</v>
      </c>
      <c r="C17" s="232"/>
      <c r="D17" s="233"/>
      <c r="E17" s="26"/>
      <c r="F17" s="32"/>
      <c r="G17" s="32"/>
      <c r="H17" s="33"/>
      <c r="I17" s="30"/>
      <c r="J17" s="30"/>
      <c r="K17" s="30"/>
      <c r="L17" s="30"/>
      <c r="M17" s="30"/>
      <c r="N17" s="30"/>
      <c r="O17" s="26"/>
      <c r="P17" s="26"/>
      <c r="Q17" s="31"/>
    </row>
    <row r="18" spans="2:17">
      <c r="B18" s="25" t="s">
        <v>153</v>
      </c>
      <c r="C18" s="232"/>
      <c r="D18" s="233"/>
      <c r="E18" s="26"/>
      <c r="F18" s="32"/>
      <c r="G18" s="32"/>
      <c r="H18" s="33"/>
      <c r="I18" s="30"/>
      <c r="J18" s="30"/>
      <c r="K18" s="30"/>
      <c r="L18" s="30"/>
      <c r="M18" s="30"/>
      <c r="N18" s="30"/>
      <c r="O18" s="26"/>
      <c r="P18" s="26"/>
      <c r="Q18" s="31"/>
    </row>
    <row r="19" spans="2:17">
      <c r="B19" s="25" t="s">
        <v>149</v>
      </c>
      <c r="C19" s="232"/>
      <c r="D19" s="233"/>
      <c r="E19" s="26"/>
      <c r="F19" s="32"/>
      <c r="G19" s="32"/>
      <c r="H19" s="33"/>
      <c r="I19" s="30"/>
      <c r="J19" s="30"/>
      <c r="K19" s="30"/>
      <c r="L19" s="30"/>
      <c r="M19" s="30"/>
      <c r="N19" s="30"/>
      <c r="O19" s="26"/>
      <c r="P19" s="26"/>
      <c r="Q19" s="31"/>
    </row>
    <row r="20" spans="2:17" ht="13.5" thickBot="1">
      <c r="B20" s="25" t="s">
        <v>154</v>
      </c>
      <c r="C20" s="236"/>
      <c r="D20" s="237"/>
      <c r="E20" s="26"/>
      <c r="F20" s="32"/>
      <c r="G20" s="32"/>
      <c r="H20" s="33"/>
      <c r="I20" s="30"/>
      <c r="J20" s="30"/>
      <c r="K20" s="30"/>
      <c r="L20" s="30"/>
      <c r="M20" s="30"/>
      <c r="N20" s="30"/>
      <c r="O20" s="26"/>
      <c r="P20" s="26"/>
      <c r="Q20" s="31"/>
    </row>
    <row r="21" spans="2:17" ht="13.5" thickBot="1">
      <c r="B21" s="18" t="s">
        <v>159</v>
      </c>
      <c r="C21" s="19"/>
      <c r="D21" s="37"/>
      <c r="E21" s="38"/>
      <c r="F21" s="39" t="s">
        <v>185</v>
      </c>
      <c r="G21" s="40"/>
      <c r="H21" s="40"/>
      <c r="I21" s="40"/>
      <c r="J21" s="40"/>
      <c r="K21" s="41"/>
      <c r="L21" s="42" t="s">
        <v>195</v>
      </c>
      <c r="M21" s="43"/>
      <c r="N21" s="43"/>
      <c r="O21" s="43"/>
      <c r="P21" s="44"/>
      <c r="Q21" s="45"/>
    </row>
    <row r="22" spans="2:17">
      <c r="B22" s="46" t="s">
        <v>167</v>
      </c>
      <c r="C22" s="47"/>
      <c r="D22" s="48"/>
      <c r="E22" s="26"/>
      <c r="F22" s="49" t="s">
        <v>3</v>
      </c>
      <c r="G22" s="26"/>
      <c r="H22" s="26"/>
      <c r="I22" s="26"/>
      <c r="J22" s="26"/>
      <c r="K22" s="30"/>
      <c r="L22" s="50"/>
      <c r="M22" s="51"/>
      <c r="N22" s="52" t="s">
        <v>192</v>
      </c>
      <c r="O22" s="52" t="s">
        <v>193</v>
      </c>
      <c r="P22" s="53" t="s">
        <v>194</v>
      </c>
      <c r="Q22" s="54"/>
    </row>
    <row r="23" spans="2:17">
      <c r="B23" s="55" t="s">
        <v>162</v>
      </c>
      <c r="C23" s="56"/>
      <c r="D23" s="57" t="s">
        <v>139</v>
      </c>
      <c r="E23" s="26"/>
      <c r="F23" s="58" t="s">
        <v>216</v>
      </c>
      <c r="G23" s="26"/>
      <c r="H23" s="26"/>
      <c r="I23" s="59">
        <f>COUNTIF(E49:P49,"&gt;0")</f>
        <v>0</v>
      </c>
      <c r="J23" s="60" t="s">
        <v>139</v>
      </c>
      <c r="K23" s="30"/>
      <c r="L23" s="61" t="s">
        <v>224</v>
      </c>
      <c r="M23" s="62"/>
      <c r="N23" s="62"/>
      <c r="O23" s="62"/>
      <c r="P23" s="63"/>
      <c r="Q23" s="64"/>
    </row>
    <row r="24" spans="2:17">
      <c r="B24" s="46" t="s">
        <v>168</v>
      </c>
      <c r="C24" s="65"/>
      <c r="D24" s="57"/>
      <c r="E24" s="26"/>
      <c r="F24" s="58" t="s">
        <v>217</v>
      </c>
      <c r="G24" s="26"/>
      <c r="H24" s="26"/>
      <c r="I24" s="59">
        <f>SUMIF($E$50:$P$50,1,E50:P50)+SUMIF($E$50:$P$50,3,E50:P50)/3</f>
        <v>0</v>
      </c>
      <c r="J24" s="60" t="s">
        <v>139</v>
      </c>
      <c r="K24" s="30"/>
      <c r="L24" s="66" t="s">
        <v>200</v>
      </c>
      <c r="M24" s="67"/>
      <c r="N24" s="68">
        <f>Q107</f>
        <v>0</v>
      </c>
      <c r="O24" s="69">
        <f>IF(I26=0,1,IF(Q54&gt;0,1-((I26*4.2*(C27/I26)^0.55*((80*I24/I23+60*(1-I24/I23))-I27)*365*I23)/(12*1000))/IF(C23=1,Q54,Q54+Q55),0))</f>
        <v>1</v>
      </c>
      <c r="P24" s="70">
        <f>IF(IF(O24=0,0,100*(1+(N24-O24)/O24))&gt;200,200,IF(IF(O24=0,0,100*(1+(N24-O24)/O24))&lt;0,0,IF(O24=0,0,100*(1+(N24-O24)/O24))))</f>
        <v>0</v>
      </c>
      <c r="Q24" s="64"/>
    </row>
    <row r="25" spans="2:17">
      <c r="B25" s="55" t="s">
        <v>163</v>
      </c>
      <c r="C25" s="56"/>
      <c r="D25" s="57" t="s">
        <v>164</v>
      </c>
      <c r="E25" s="26"/>
      <c r="F25" s="27" t="s">
        <v>188</v>
      </c>
      <c r="G25" s="26"/>
      <c r="H25" s="26"/>
      <c r="I25" s="71"/>
      <c r="J25" s="72"/>
      <c r="K25" s="30"/>
      <c r="L25" s="66" t="s">
        <v>201</v>
      </c>
      <c r="M25" s="67"/>
      <c r="N25" s="68">
        <f>Q108</f>
        <v>0</v>
      </c>
      <c r="O25" s="69">
        <f>IF(I28=0,1,IF(Q66&gt;0,1-((I28*4.2*(C29/I28)^0.55*(I27-12)*365*I23)/(12*1000))/IF(C38=1,Q66,Q66+Q67),0))</f>
        <v>1</v>
      </c>
      <c r="P25" s="70">
        <f>IF(IF(O25=0,0,100*(1+(N25-O25)/O25))&gt;200,200,IF(IF(O25=0,0,100*(1+(N25-O25)/O25))&lt;0,0,IF(O25=0,0,100*(1+(N25-O25)/O25))))</f>
        <v>0</v>
      </c>
      <c r="Q25" s="64"/>
    </row>
    <row r="26" spans="2:17">
      <c r="B26" s="46" t="s">
        <v>169</v>
      </c>
      <c r="C26" s="73"/>
      <c r="D26" s="57"/>
      <c r="E26" s="26"/>
      <c r="F26" s="58" t="s">
        <v>241</v>
      </c>
      <c r="G26" s="26"/>
      <c r="H26" s="26"/>
      <c r="I26" s="74"/>
      <c r="J26" s="60" t="s">
        <v>139</v>
      </c>
      <c r="K26" s="30"/>
      <c r="L26" s="66" t="s">
        <v>202</v>
      </c>
      <c r="M26" s="67"/>
      <c r="N26" s="68">
        <f>Q109</f>
        <v>0</v>
      </c>
      <c r="O26" s="69">
        <f>0.8*I30</f>
        <v>0</v>
      </c>
      <c r="P26" s="70">
        <f>IF(IF(O26=0,0,100*(1+(N26-O26)/O26))&gt;200,200,IF(IF(O26=0,0,100*(1+(N26-O26)/O26))&lt;0,0,IF(O26=0,0,100*(1+(N26-O26)/O26))))</f>
        <v>0</v>
      </c>
      <c r="Q26" s="64"/>
    </row>
    <row r="27" spans="2:17">
      <c r="B27" s="55" t="s">
        <v>165</v>
      </c>
      <c r="C27" s="56"/>
      <c r="D27" s="75" t="s">
        <v>166</v>
      </c>
      <c r="E27" s="26"/>
      <c r="F27" s="58" t="s">
        <v>187</v>
      </c>
      <c r="G27" s="4"/>
      <c r="H27" s="4"/>
      <c r="I27" s="74"/>
      <c r="J27" s="60" t="s">
        <v>186</v>
      </c>
      <c r="K27" s="30"/>
      <c r="L27" s="61" t="s">
        <v>225</v>
      </c>
      <c r="M27" s="62"/>
      <c r="N27" s="76"/>
      <c r="O27" s="77"/>
      <c r="P27" s="78"/>
      <c r="Q27" s="64"/>
    </row>
    <row r="28" spans="2:17">
      <c r="B28" s="46" t="s">
        <v>171</v>
      </c>
      <c r="C28" s="73"/>
      <c r="D28" s="57"/>
      <c r="E28" s="30"/>
      <c r="F28" s="58" t="s">
        <v>242</v>
      </c>
      <c r="G28" s="79"/>
      <c r="H28" s="80"/>
      <c r="I28" s="74"/>
      <c r="J28" s="60" t="s">
        <v>139</v>
      </c>
      <c r="K28" s="30"/>
      <c r="L28" s="66" t="s">
        <v>203</v>
      </c>
      <c r="M28" s="81"/>
      <c r="N28" s="82">
        <f>Q111</f>
        <v>0</v>
      </c>
      <c r="O28" s="83">
        <v>1</v>
      </c>
      <c r="P28" s="70">
        <f>IF(IF(O28=0,0,100*(1+(N28-O28)/O28))&gt;200,200,IF(IF(O28=0,0,100*(1+(N28-O28)/O28))&lt;0,0,IF(O28=0,0,100*(1+(N28-O28)/O28))))</f>
        <v>0</v>
      </c>
      <c r="Q28" s="64"/>
    </row>
    <row r="29" spans="2:17">
      <c r="B29" s="36" t="s">
        <v>239</v>
      </c>
      <c r="C29" s="56"/>
      <c r="D29" s="75" t="s">
        <v>166</v>
      </c>
      <c r="E29" s="30"/>
      <c r="F29" s="84" t="s">
        <v>55</v>
      </c>
      <c r="G29" s="30"/>
      <c r="H29" s="80"/>
      <c r="I29" s="30"/>
      <c r="J29" s="30"/>
      <c r="K29" s="85"/>
      <c r="L29" s="61" t="s">
        <v>196</v>
      </c>
      <c r="M29" s="62"/>
      <c r="N29" s="76"/>
      <c r="O29" s="77"/>
      <c r="P29" s="78"/>
      <c r="Q29" s="64"/>
    </row>
    <row r="30" spans="2:17">
      <c r="B30" s="86" t="s">
        <v>4</v>
      </c>
      <c r="C30" s="87"/>
      <c r="D30" s="88"/>
      <c r="E30" s="30"/>
      <c r="F30" s="72" t="s">
        <v>170</v>
      </c>
      <c r="G30" s="26"/>
      <c r="H30" s="80"/>
      <c r="I30" s="56"/>
      <c r="J30" s="60" t="s">
        <v>139</v>
      </c>
      <c r="K30" s="89"/>
      <c r="L30" s="66" t="s">
        <v>204</v>
      </c>
      <c r="M30" s="81"/>
      <c r="N30" s="82">
        <f>Q113</f>
        <v>0</v>
      </c>
      <c r="O30" s="83">
        <f>350*I23/12</f>
        <v>0</v>
      </c>
      <c r="P30" s="70">
        <f>IF(IF(O30=0,0,100*(1+(N30-O30)/O30))&gt;200,200,IF(IF(O30=0,0,100*(1+(N30-O30)/O30))&lt;0,0,IF(O30=0,0,100*(1+(N30-O30)/O30))))</f>
        <v>0</v>
      </c>
      <c r="Q30" s="64"/>
    </row>
    <row r="31" spans="2:17">
      <c r="B31" s="90" t="s">
        <v>172</v>
      </c>
      <c r="C31" s="91">
        <f>IF(SUM(E55:P57)&gt;0,1,0)</f>
        <v>0</v>
      </c>
      <c r="D31" s="57" t="s">
        <v>139</v>
      </c>
      <c r="E31" s="26"/>
      <c r="F31" s="27" t="s">
        <v>168</v>
      </c>
      <c r="G31" s="4"/>
      <c r="H31" s="4"/>
      <c r="I31" s="4"/>
      <c r="J31" s="92"/>
      <c r="K31" s="59"/>
      <c r="L31" s="66" t="s">
        <v>205</v>
      </c>
      <c r="M31" s="81"/>
      <c r="N31" s="68">
        <f>Q114</f>
        <v>0</v>
      </c>
      <c r="O31" s="69">
        <f>IF(I23&gt;0,((N26*I24)/I23+1-I24/I23)*N32,0)</f>
        <v>0</v>
      </c>
      <c r="P31" s="70">
        <f>IF(IF(O31=0,0,100*(1+(N31-O31)/O31))&gt;200,200,IF(IF(O31=0,0,100*(1+(N31-O31)/O31))&lt;0,0,IF(O31=0,0,100*(1+(N31-O31)/O31))))</f>
        <v>0</v>
      </c>
      <c r="Q31" s="64"/>
    </row>
    <row r="32" spans="2:17">
      <c r="B32" s="93" t="s">
        <v>5</v>
      </c>
      <c r="C32" s="94"/>
      <c r="D32" s="57" t="s">
        <v>139</v>
      </c>
      <c r="E32" s="26"/>
      <c r="F32" s="95" t="s">
        <v>232</v>
      </c>
      <c r="G32" s="4"/>
      <c r="H32" s="4"/>
      <c r="I32" s="56"/>
      <c r="J32" s="60" t="s">
        <v>139</v>
      </c>
      <c r="K32" s="59"/>
      <c r="L32" s="66" t="s">
        <v>207</v>
      </c>
      <c r="M32" s="81"/>
      <c r="N32" s="68">
        <f>Q116</f>
        <v>0</v>
      </c>
      <c r="O32" s="69">
        <f>IF(Q91=0,0,I32-I33*(IF(Q50=1,80,62.5)-I35)/(1000*Q52/(8*C25*IF(Q90=0,Q91,Q90)))-I34*(IF(Q50=1,80,62.5)-I35)^2/(1000*Q52/(8*C25*IF(Q90=0,Q91,Q90))))</f>
        <v>0</v>
      </c>
      <c r="P32" s="70">
        <f>IF(IF(O32=0,0,100*(1+(N32-O32)/O32))&gt;200,200,IF(IF(O32=0,0,100*(1+(N32-O32)/O32))&lt;0,0,IF(O32=0,0,100*(1+(N32-O32)/O32))))</f>
        <v>0</v>
      </c>
      <c r="Q32" s="64"/>
    </row>
    <row r="33" spans="2:17">
      <c r="B33" s="93" t="s">
        <v>6</v>
      </c>
      <c r="C33" s="96"/>
      <c r="D33" s="57" t="s">
        <v>139</v>
      </c>
      <c r="E33" s="26"/>
      <c r="F33" s="95" t="s">
        <v>189</v>
      </c>
      <c r="G33" s="4"/>
      <c r="H33" s="4"/>
      <c r="I33" s="56"/>
      <c r="J33" s="60" t="s">
        <v>227</v>
      </c>
      <c r="K33" s="59"/>
      <c r="L33" s="66" t="s">
        <v>206</v>
      </c>
      <c r="M33" s="81"/>
      <c r="N33" s="82">
        <f>Q115</f>
        <v>0</v>
      </c>
      <c r="O33" s="83">
        <v>5</v>
      </c>
      <c r="P33" s="70">
        <f>IF(IF(O33=0,0,100*(1+(N33-O33)/O33))&gt;200,200,IF(IF(O33=0,0,100*(1+(N33-O33)/O33))&lt;0,0,IF(O33=0,0,100*(1+(N33-O33)/O33))))</f>
        <v>0</v>
      </c>
      <c r="Q33" s="64"/>
    </row>
    <row r="34" spans="2:17">
      <c r="B34" s="114" t="s">
        <v>240</v>
      </c>
      <c r="C34" s="96"/>
      <c r="D34" s="57" t="s">
        <v>139</v>
      </c>
      <c r="E34" s="26"/>
      <c r="F34" s="95" t="s">
        <v>190</v>
      </c>
      <c r="G34" s="4"/>
      <c r="H34" s="4"/>
      <c r="I34" s="56"/>
      <c r="J34" s="60" t="s">
        <v>228</v>
      </c>
      <c r="K34" s="59"/>
      <c r="L34" s="61" t="s">
        <v>197</v>
      </c>
      <c r="M34" s="62"/>
      <c r="N34" s="76"/>
      <c r="O34" s="77"/>
      <c r="P34" s="78"/>
      <c r="Q34" s="64"/>
    </row>
    <row r="35" spans="2:17">
      <c r="B35" s="86" t="s">
        <v>7</v>
      </c>
      <c r="C35" s="87"/>
      <c r="D35" s="88"/>
      <c r="E35" s="26"/>
      <c r="F35" s="58" t="s">
        <v>175</v>
      </c>
      <c r="G35" s="32"/>
      <c r="H35" s="26"/>
      <c r="I35" s="74"/>
      <c r="J35" s="97" t="s">
        <v>186</v>
      </c>
      <c r="K35" s="59"/>
      <c r="L35" s="66" t="s">
        <v>208</v>
      </c>
      <c r="M35" s="81"/>
      <c r="N35" s="82">
        <f>Q118</f>
        <v>0</v>
      </c>
      <c r="O35" s="83">
        <f>IF(N26&gt;0,2.7*(1+N26)/N26,0)</f>
        <v>0</v>
      </c>
      <c r="P35" s="70">
        <f>IF(IF(O35=0,0,100*(1+(O35-N35)/O35))&gt;200,20,IF(IF(O35=0,0,100*(1+(O35-N35)/O35))&lt;0,0,IF(O35=0,0,100*(1+(O35-N35)/O35))))</f>
        <v>0</v>
      </c>
      <c r="Q35" s="64"/>
    </row>
    <row r="36" spans="2:17" ht="13.5" thickBot="1">
      <c r="B36" s="90" t="s">
        <v>172</v>
      </c>
      <c r="C36" s="91">
        <f>IF(SUM(E67:P67)&gt;0,1,0)</f>
        <v>0</v>
      </c>
      <c r="D36" s="57" t="s">
        <v>139</v>
      </c>
      <c r="E36" s="26"/>
      <c r="F36" s="98"/>
      <c r="G36" s="32"/>
      <c r="H36" s="26"/>
      <c r="I36" s="99"/>
      <c r="J36" s="30"/>
      <c r="K36" s="100"/>
      <c r="L36" s="61" t="s">
        <v>198</v>
      </c>
      <c r="M36" s="62"/>
      <c r="N36" s="76"/>
      <c r="O36" s="77"/>
      <c r="P36" s="78"/>
      <c r="Q36" s="64"/>
    </row>
    <row r="37" spans="2:17" ht="13.5" thickBot="1">
      <c r="B37" s="93" t="s">
        <v>8</v>
      </c>
      <c r="C37" s="94"/>
      <c r="D37" s="57" t="s">
        <v>139</v>
      </c>
      <c r="E37" s="101"/>
      <c r="F37" s="102" t="s">
        <v>191</v>
      </c>
      <c r="G37" s="40"/>
      <c r="H37" s="40"/>
      <c r="I37" s="40"/>
      <c r="J37" s="103"/>
      <c r="K37" s="59"/>
      <c r="L37" s="66" t="s">
        <v>209</v>
      </c>
      <c r="M37" s="81"/>
      <c r="N37" s="104">
        <f>Q120</f>
        <v>0</v>
      </c>
      <c r="O37" s="105">
        <f>IF((Q62+Q59+Q68)&gt;0,(0.02*(Q62+Q59+Q55+Q56+Q57)*C41+(Q62+Q59)/IF(C32=0,0.75,C32)*IF(C32=0,0.06,C42)+Q68/IF(C37=0,2.46,C37)*IF(C37=0,C41,C43))/(Q62+Q59+Q68),0)</f>
        <v>0</v>
      </c>
      <c r="P37" s="70">
        <f>IF(IF(O37=0,0,100*(1+(O37-N37)/O37))&gt;200,20,IF(IF(O37=0,0,100*(1+(O37-N37)/O37))&lt;0,0,IF(O37=0,0,100*(1+(O37-N37)/O37))))</f>
        <v>0</v>
      </c>
      <c r="Q37" s="64"/>
    </row>
    <row r="38" spans="2:17">
      <c r="B38" s="93" t="s">
        <v>173</v>
      </c>
      <c r="C38" s="94"/>
      <c r="D38" s="57" t="s">
        <v>139</v>
      </c>
      <c r="E38" s="101"/>
      <c r="F38" s="234"/>
      <c r="G38" s="234"/>
      <c r="H38" s="234"/>
      <c r="I38" s="234"/>
      <c r="J38" s="234"/>
      <c r="K38" s="59"/>
      <c r="L38" s="61" t="s">
        <v>199</v>
      </c>
      <c r="M38" s="62"/>
      <c r="N38" s="76"/>
      <c r="O38" s="77"/>
      <c r="P38" s="78"/>
      <c r="Q38" s="64"/>
    </row>
    <row r="39" spans="2:17">
      <c r="B39" s="93" t="s">
        <v>6</v>
      </c>
      <c r="C39" s="96"/>
      <c r="D39" s="57" t="s">
        <v>139</v>
      </c>
      <c r="E39" s="30"/>
      <c r="F39" s="235"/>
      <c r="G39" s="235"/>
      <c r="H39" s="235"/>
      <c r="I39" s="235"/>
      <c r="J39" s="235"/>
      <c r="K39" s="59"/>
      <c r="L39" s="66" t="s">
        <v>210</v>
      </c>
      <c r="M39" s="81"/>
      <c r="N39" s="82">
        <f>Q122</f>
        <v>0</v>
      </c>
      <c r="O39" s="106">
        <v>90</v>
      </c>
      <c r="P39" s="70">
        <f>IF(IF(O39=0,0,100*(1+(N39-O39)/O39))&gt;200,200,IF(IF(O39=0,0,100*(1+(N39-O39)/O39))&lt;0,0,IF(O39=0,0,100*(1+(N39-O39)/O39))))</f>
        <v>0</v>
      </c>
      <c r="Q39" s="64"/>
    </row>
    <row r="40" spans="2:17">
      <c r="B40" s="107" t="s">
        <v>9</v>
      </c>
      <c r="C40" s="32"/>
      <c r="D40" s="58"/>
      <c r="E40" s="30"/>
      <c r="F40" s="235"/>
      <c r="G40" s="235"/>
      <c r="H40" s="235"/>
      <c r="I40" s="235"/>
      <c r="J40" s="235"/>
      <c r="K40" s="59"/>
      <c r="L40" s="61" t="s">
        <v>226</v>
      </c>
      <c r="M40" s="62"/>
      <c r="N40" s="76"/>
      <c r="O40" s="108"/>
      <c r="P40" s="78"/>
      <c r="Q40" s="64"/>
    </row>
    <row r="41" spans="2:17">
      <c r="B41" s="93" t="s">
        <v>174</v>
      </c>
      <c r="C41" s="56"/>
      <c r="D41" s="75" t="s">
        <v>145</v>
      </c>
      <c r="E41" s="26"/>
      <c r="F41" s="235"/>
      <c r="G41" s="235"/>
      <c r="H41" s="235"/>
      <c r="I41" s="235"/>
      <c r="J41" s="235"/>
      <c r="K41" s="59"/>
      <c r="L41" s="66" t="s">
        <v>211</v>
      </c>
      <c r="M41" s="81"/>
      <c r="N41" s="82">
        <f>Q124</f>
        <v>0</v>
      </c>
      <c r="O41" s="106">
        <v>90</v>
      </c>
      <c r="P41" s="70">
        <f>IF(IF(O41=0,0,100*(1+(N41-O41)/O41))&gt;200,200,IF(IF(O41=0,0,100*(1+(N41-O41)/O41))&lt;0,0,IF(O41=0,0,100*(1+(N41-O41)/O41))))</f>
        <v>0</v>
      </c>
      <c r="Q41" s="64"/>
    </row>
    <row r="42" spans="2:17" ht="13.5" thickBot="1">
      <c r="B42" s="93" t="s">
        <v>183</v>
      </c>
      <c r="C42" s="56"/>
      <c r="D42" s="75" t="s">
        <v>145</v>
      </c>
      <c r="E42" s="26"/>
      <c r="F42" s="235"/>
      <c r="G42" s="235"/>
      <c r="H42" s="235"/>
      <c r="I42" s="235"/>
      <c r="J42" s="235"/>
      <c r="K42" s="59"/>
      <c r="L42" s="109" t="s">
        <v>212</v>
      </c>
      <c r="M42" s="110"/>
      <c r="N42" s="111">
        <f>Q125</f>
        <v>0</v>
      </c>
      <c r="O42" s="112">
        <v>10</v>
      </c>
      <c r="P42" s="113">
        <f>IF(IF(O42=0,0,100*(1+(O42-N42)/O42))&gt;200,20,IF(IF(O42=0,0,100*(1+(O42-N42)/O42))&lt;0,0,IF(O42=0,0,100*(1+(O42-N42)/O42))))</f>
        <v>200</v>
      </c>
      <c r="Q42" s="64"/>
    </row>
    <row r="43" spans="2:17">
      <c r="B43" s="93" t="s">
        <v>184</v>
      </c>
      <c r="C43" s="56"/>
      <c r="D43" s="75" t="s">
        <v>145</v>
      </c>
      <c r="E43" s="26"/>
      <c r="F43" s="235"/>
      <c r="G43" s="235"/>
      <c r="H43" s="235"/>
      <c r="I43" s="235"/>
      <c r="J43" s="235"/>
      <c r="K43" s="59"/>
      <c r="L43" s="30"/>
      <c r="M43" s="30"/>
      <c r="N43" s="30"/>
      <c r="O43" s="30"/>
      <c r="P43" s="30"/>
      <c r="Q43" s="64"/>
    </row>
    <row r="44" spans="2:17" ht="15">
      <c r="B44" s="114" t="s">
        <v>223</v>
      </c>
      <c r="C44" s="56"/>
      <c r="D44" s="75" t="s">
        <v>229</v>
      </c>
      <c r="E44" s="26"/>
      <c r="F44" s="235"/>
      <c r="G44" s="235"/>
      <c r="H44" s="235"/>
      <c r="I44" s="235"/>
      <c r="J44" s="235"/>
      <c r="K44" s="59"/>
      <c r="L44" s="115"/>
      <c r="M44" s="30"/>
      <c r="N44" s="30"/>
      <c r="O44" s="30"/>
      <c r="P44" s="30"/>
      <c r="Q44" s="64"/>
    </row>
    <row r="45" spans="2:17" ht="13.5" thickBot="1">
      <c r="B45" s="116"/>
      <c r="C45" s="117"/>
      <c r="D45" s="118"/>
      <c r="E45" s="117"/>
      <c r="F45" s="119"/>
      <c r="G45" s="117"/>
      <c r="H45" s="117"/>
      <c r="I45" s="117"/>
      <c r="J45" s="117"/>
      <c r="K45" s="120"/>
      <c r="L45" s="121"/>
      <c r="M45" s="117"/>
      <c r="N45" s="117"/>
      <c r="O45" s="122"/>
      <c r="P45" s="122"/>
      <c r="Q45" s="123"/>
    </row>
    <row r="46" spans="2:17" ht="13.5" thickBot="1">
      <c r="B46" s="4"/>
      <c r="C46" s="5"/>
      <c r="D46" s="12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ht="13.5" thickBot="1">
      <c r="B47" s="125" t="s">
        <v>10</v>
      </c>
      <c r="C47" s="126"/>
      <c r="D47" s="127"/>
      <c r="E47" s="128" t="s">
        <v>11</v>
      </c>
      <c r="F47" s="128" t="s">
        <v>12</v>
      </c>
      <c r="G47" s="128" t="s">
        <v>13</v>
      </c>
      <c r="H47" s="128" t="s">
        <v>14</v>
      </c>
      <c r="I47" s="128" t="s">
        <v>15</v>
      </c>
      <c r="J47" s="128" t="s">
        <v>16</v>
      </c>
      <c r="K47" s="128" t="s">
        <v>17</v>
      </c>
      <c r="L47" s="128" t="s">
        <v>18</v>
      </c>
      <c r="M47" s="128" t="s">
        <v>19</v>
      </c>
      <c r="N47" s="128" t="s">
        <v>20</v>
      </c>
      <c r="O47" s="128" t="s">
        <v>21</v>
      </c>
      <c r="P47" s="128" t="s">
        <v>22</v>
      </c>
      <c r="Q47" s="129" t="s">
        <v>161</v>
      </c>
    </row>
    <row r="48" spans="2:17" ht="13.5" thickBot="1">
      <c r="B48" s="18" t="s">
        <v>24</v>
      </c>
      <c r="C48" s="130"/>
      <c r="D48" s="19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4"/>
    </row>
    <row r="49" spans="2:17">
      <c r="B49" s="131" t="s">
        <v>25</v>
      </c>
      <c r="C49" s="132"/>
      <c r="D49" s="75" t="s">
        <v>139</v>
      </c>
      <c r="E49" s="133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5"/>
      <c r="Q49" s="136">
        <f>IF(SUM(E49:P49)=0,,IF(YEAR(MIN(E49:P49))=YEAR(MAX(E49:P49)),YEAR(MIN(E49:P49)),YEAR(MIN(E49:P49))&amp;" - "&amp;YEAR(MAX(E49:P49))))</f>
        <v>0</v>
      </c>
    </row>
    <row r="50" spans="2:17" ht="13.5" thickBot="1">
      <c r="B50" s="131" t="s">
        <v>176</v>
      </c>
      <c r="C50" s="132"/>
      <c r="D50" s="75" t="s">
        <v>139</v>
      </c>
      <c r="E50" s="137">
        <f>IF(E68&gt;0,IF(E59+E62&gt;0,3,1),IF(E68+E62+E59=0,0,2))</f>
        <v>0</v>
      </c>
      <c r="F50" s="138">
        <f t="shared" ref="F50:P50" si="0">IF(F68&gt;0,IF(F59+F62&gt;0,3,1),IF(F68+F62+F59=0,0,2))</f>
        <v>0</v>
      </c>
      <c r="G50" s="138">
        <f t="shared" si="0"/>
        <v>0</v>
      </c>
      <c r="H50" s="138">
        <f t="shared" si="0"/>
        <v>0</v>
      </c>
      <c r="I50" s="138">
        <f t="shared" si="0"/>
        <v>0</v>
      </c>
      <c r="J50" s="138">
        <f t="shared" si="0"/>
        <v>0</v>
      </c>
      <c r="K50" s="138">
        <f t="shared" si="0"/>
        <v>0</v>
      </c>
      <c r="L50" s="138">
        <f t="shared" si="0"/>
        <v>0</v>
      </c>
      <c r="M50" s="138">
        <f t="shared" si="0"/>
        <v>0</v>
      </c>
      <c r="N50" s="138">
        <f t="shared" si="0"/>
        <v>0</v>
      </c>
      <c r="O50" s="138">
        <f t="shared" si="0"/>
        <v>0</v>
      </c>
      <c r="P50" s="139">
        <f t="shared" si="0"/>
        <v>0</v>
      </c>
      <c r="Q50" s="136">
        <f>IF(SUM(E50:P50)=0,0,IF(MAX(E50:P50)=3,3,IF(AND(MAX(E50:P50)=2,MIN(E50:P50)=1),3,IF(MAX(E50:P50)=1,1,2))))</f>
        <v>0</v>
      </c>
    </row>
    <row r="51" spans="2:17" ht="13.5" thickBot="1">
      <c r="B51" s="18" t="s">
        <v>218</v>
      </c>
      <c r="C51" s="19"/>
      <c r="D51" s="37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24"/>
    </row>
    <row r="52" spans="2:17" ht="13.5" thickBot="1">
      <c r="B52" s="131" t="s">
        <v>108</v>
      </c>
      <c r="C52" s="58" t="s">
        <v>26</v>
      </c>
      <c r="D52" s="75" t="s">
        <v>140</v>
      </c>
      <c r="E52" s="140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2"/>
      <c r="Q52" s="143">
        <f t="shared" ref="Q52:Q69" si="1">SUM(E52:P52)</f>
        <v>0</v>
      </c>
    </row>
    <row r="53" spans="2:17" ht="13.5" thickBot="1">
      <c r="B53" s="18" t="s">
        <v>134</v>
      </c>
      <c r="C53" s="19"/>
      <c r="D53" s="37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5"/>
    </row>
    <row r="54" spans="2:17">
      <c r="B54" s="131" t="s">
        <v>109</v>
      </c>
      <c r="C54" s="58" t="s">
        <v>27</v>
      </c>
      <c r="D54" s="75" t="s">
        <v>140</v>
      </c>
      <c r="E54" s="146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8"/>
      <c r="Q54" s="143">
        <f t="shared" si="1"/>
        <v>0</v>
      </c>
    </row>
    <row r="55" spans="2:17">
      <c r="B55" s="131" t="s">
        <v>110</v>
      </c>
      <c r="C55" s="58" t="s">
        <v>28</v>
      </c>
      <c r="D55" s="75" t="s">
        <v>140</v>
      </c>
      <c r="E55" s="149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1"/>
      <c r="Q55" s="143">
        <f t="shared" si="1"/>
        <v>0</v>
      </c>
    </row>
    <row r="56" spans="2:17">
      <c r="B56" s="207" t="s">
        <v>111</v>
      </c>
      <c r="C56" s="208" t="s">
        <v>29</v>
      </c>
      <c r="D56" s="209" t="s">
        <v>140</v>
      </c>
      <c r="E56" s="210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2"/>
      <c r="Q56" s="213">
        <f t="shared" si="1"/>
        <v>0</v>
      </c>
    </row>
    <row r="57" spans="2:17">
      <c r="B57" s="214" t="s">
        <v>215</v>
      </c>
      <c r="C57" s="215" t="s">
        <v>30</v>
      </c>
      <c r="D57" s="216" t="s">
        <v>140</v>
      </c>
      <c r="E57" s="217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/>
      <c r="Q57" s="220">
        <f t="shared" si="1"/>
        <v>0</v>
      </c>
    </row>
    <row r="58" spans="2:17">
      <c r="B58" s="131" t="s">
        <v>112</v>
      </c>
      <c r="C58" s="152" t="s">
        <v>31</v>
      </c>
      <c r="D58" s="75" t="s">
        <v>140</v>
      </c>
      <c r="E58" s="149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1"/>
      <c r="Q58" s="143">
        <f t="shared" si="1"/>
        <v>0</v>
      </c>
    </row>
    <row r="59" spans="2:17">
      <c r="B59" s="131" t="s">
        <v>213</v>
      </c>
      <c r="C59" s="58" t="s">
        <v>32</v>
      </c>
      <c r="D59" s="75" t="s">
        <v>140</v>
      </c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1"/>
      <c r="Q59" s="143">
        <f t="shared" si="1"/>
        <v>0</v>
      </c>
    </row>
    <row r="60" spans="2:17">
      <c r="B60" s="214" t="s">
        <v>33</v>
      </c>
      <c r="C60" s="215" t="s">
        <v>34</v>
      </c>
      <c r="D60" s="216" t="s">
        <v>140</v>
      </c>
      <c r="E60" s="217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9"/>
      <c r="Q60" s="220">
        <f t="shared" si="1"/>
        <v>0</v>
      </c>
    </row>
    <row r="61" spans="2:17">
      <c r="B61" s="214" t="s">
        <v>113</v>
      </c>
      <c r="C61" s="215" t="s">
        <v>35</v>
      </c>
      <c r="D61" s="216" t="s">
        <v>140</v>
      </c>
      <c r="E61" s="217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9"/>
      <c r="Q61" s="220">
        <f t="shared" si="1"/>
        <v>0</v>
      </c>
    </row>
    <row r="62" spans="2:17">
      <c r="B62" s="131" t="s">
        <v>114</v>
      </c>
      <c r="C62" s="58" t="s">
        <v>36</v>
      </c>
      <c r="D62" s="75" t="s">
        <v>140</v>
      </c>
      <c r="E62" s="149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1"/>
      <c r="Q62" s="143">
        <f t="shared" si="1"/>
        <v>0</v>
      </c>
    </row>
    <row r="63" spans="2:17">
      <c r="B63" s="131" t="s">
        <v>37</v>
      </c>
      <c r="C63" s="152" t="s">
        <v>38</v>
      </c>
      <c r="D63" s="75" t="s">
        <v>140</v>
      </c>
      <c r="E63" s="149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1"/>
      <c r="Q63" s="143">
        <f t="shared" si="1"/>
        <v>0</v>
      </c>
    </row>
    <row r="64" spans="2:17">
      <c r="B64" s="214" t="s">
        <v>106</v>
      </c>
      <c r="C64" s="221" t="s">
        <v>107</v>
      </c>
      <c r="D64" s="216" t="s">
        <v>140</v>
      </c>
      <c r="E64" s="217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9"/>
      <c r="Q64" s="220">
        <f t="shared" si="1"/>
        <v>0</v>
      </c>
    </row>
    <row r="65" spans="2:17">
      <c r="B65" s="214" t="s">
        <v>115</v>
      </c>
      <c r="C65" s="215" t="s">
        <v>39</v>
      </c>
      <c r="D65" s="216" t="s">
        <v>140</v>
      </c>
      <c r="E65" s="217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9"/>
      <c r="Q65" s="220">
        <f t="shared" si="1"/>
        <v>0</v>
      </c>
    </row>
    <row r="66" spans="2:17">
      <c r="B66" s="131" t="s">
        <v>116</v>
      </c>
      <c r="C66" s="58" t="s">
        <v>40</v>
      </c>
      <c r="D66" s="75" t="s">
        <v>140</v>
      </c>
      <c r="E66" s="149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1"/>
      <c r="Q66" s="143">
        <f t="shared" si="1"/>
        <v>0</v>
      </c>
    </row>
    <row r="67" spans="2:17">
      <c r="B67" s="131" t="s">
        <v>117</v>
      </c>
      <c r="C67" s="58" t="s">
        <v>41</v>
      </c>
      <c r="D67" s="75" t="s">
        <v>140</v>
      </c>
      <c r="E67" s="149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1"/>
      <c r="Q67" s="143">
        <f t="shared" si="1"/>
        <v>0</v>
      </c>
    </row>
    <row r="68" spans="2:17">
      <c r="B68" s="214" t="s">
        <v>118</v>
      </c>
      <c r="C68" s="215" t="s">
        <v>42</v>
      </c>
      <c r="D68" s="216" t="s">
        <v>140</v>
      </c>
      <c r="E68" s="217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9"/>
      <c r="Q68" s="220">
        <f t="shared" si="1"/>
        <v>0</v>
      </c>
    </row>
    <row r="69" spans="2:17" ht="13.5" thickBot="1">
      <c r="B69" s="214" t="s">
        <v>214</v>
      </c>
      <c r="C69" s="215" t="s">
        <v>43</v>
      </c>
      <c r="D69" s="216" t="s">
        <v>140</v>
      </c>
      <c r="E69" s="222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4"/>
      <c r="Q69" s="220">
        <f t="shared" si="1"/>
        <v>0</v>
      </c>
    </row>
    <row r="70" spans="2:17" ht="13.5" thickBot="1">
      <c r="B70" s="18" t="s">
        <v>135</v>
      </c>
      <c r="C70" s="19"/>
      <c r="D70" s="37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56"/>
    </row>
    <row r="71" spans="2:17">
      <c r="B71" s="131" t="s">
        <v>119</v>
      </c>
      <c r="C71" s="58" t="s">
        <v>44</v>
      </c>
      <c r="D71" s="75" t="s">
        <v>140</v>
      </c>
      <c r="E71" s="146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8"/>
      <c r="Q71" s="143">
        <f t="shared" ref="Q71:Q84" si="2">SUM(E71:P71)</f>
        <v>0</v>
      </c>
    </row>
    <row r="72" spans="2:17">
      <c r="B72" s="131" t="s">
        <v>120</v>
      </c>
      <c r="C72" s="58" t="s">
        <v>45</v>
      </c>
      <c r="D72" s="75" t="s">
        <v>140</v>
      </c>
      <c r="E72" s="149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1"/>
      <c r="Q72" s="143">
        <f t="shared" si="2"/>
        <v>0</v>
      </c>
    </row>
    <row r="73" spans="2:17">
      <c r="B73" s="214" t="s">
        <v>121</v>
      </c>
      <c r="C73" s="215" t="s">
        <v>46</v>
      </c>
      <c r="D73" s="216" t="s">
        <v>140</v>
      </c>
      <c r="E73" s="217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9"/>
      <c r="Q73" s="220">
        <f t="shared" si="2"/>
        <v>0</v>
      </c>
    </row>
    <row r="74" spans="2:17">
      <c r="B74" s="214" t="s">
        <v>122</v>
      </c>
      <c r="C74" s="215" t="s">
        <v>47</v>
      </c>
      <c r="D74" s="216" t="s">
        <v>140</v>
      </c>
      <c r="E74" s="217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9"/>
      <c r="Q74" s="220">
        <f t="shared" si="2"/>
        <v>0</v>
      </c>
    </row>
    <row r="75" spans="2:17">
      <c r="B75" s="131" t="s">
        <v>123</v>
      </c>
      <c r="C75" s="58" t="s">
        <v>48</v>
      </c>
      <c r="D75" s="75" t="s">
        <v>140</v>
      </c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1"/>
      <c r="Q75" s="143">
        <f t="shared" si="2"/>
        <v>0</v>
      </c>
    </row>
    <row r="76" spans="2:17">
      <c r="B76" s="131" t="s">
        <v>124</v>
      </c>
      <c r="C76" s="58" t="s">
        <v>49</v>
      </c>
      <c r="D76" s="75" t="s">
        <v>140</v>
      </c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1"/>
      <c r="Q76" s="143">
        <f t="shared" si="2"/>
        <v>0</v>
      </c>
    </row>
    <row r="77" spans="2:17">
      <c r="B77" s="214" t="s">
        <v>125</v>
      </c>
      <c r="C77" s="215" t="s">
        <v>50</v>
      </c>
      <c r="D77" s="216" t="s">
        <v>140</v>
      </c>
      <c r="E77" s="217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9"/>
      <c r="Q77" s="220">
        <f t="shared" si="2"/>
        <v>0</v>
      </c>
    </row>
    <row r="78" spans="2:17">
      <c r="B78" s="214" t="s">
        <v>126</v>
      </c>
      <c r="C78" s="215" t="s">
        <v>51</v>
      </c>
      <c r="D78" s="216" t="s">
        <v>140</v>
      </c>
      <c r="E78" s="217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9"/>
      <c r="Q78" s="220">
        <f t="shared" si="2"/>
        <v>0</v>
      </c>
    </row>
    <row r="79" spans="2:17">
      <c r="B79" s="131" t="s">
        <v>127</v>
      </c>
      <c r="C79" s="58" t="s">
        <v>52</v>
      </c>
      <c r="D79" s="75" t="s">
        <v>140</v>
      </c>
      <c r="E79" s="149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1"/>
      <c r="Q79" s="143">
        <f t="shared" si="2"/>
        <v>0</v>
      </c>
    </row>
    <row r="80" spans="2:17">
      <c r="B80" s="131" t="s">
        <v>128</v>
      </c>
      <c r="C80" s="58" t="s">
        <v>53</v>
      </c>
      <c r="D80" s="75" t="s">
        <v>140</v>
      </c>
      <c r="E80" s="149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1"/>
      <c r="Q80" s="143">
        <f t="shared" si="2"/>
        <v>0</v>
      </c>
    </row>
    <row r="81" spans="2:17">
      <c r="B81" s="214" t="s">
        <v>129</v>
      </c>
      <c r="C81" s="215" t="s">
        <v>54</v>
      </c>
      <c r="D81" s="216" t="s">
        <v>140</v>
      </c>
      <c r="E81" s="217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9"/>
      <c r="Q81" s="220">
        <f t="shared" si="2"/>
        <v>0</v>
      </c>
    </row>
    <row r="82" spans="2:17">
      <c r="B82" s="214" t="s">
        <v>130</v>
      </c>
      <c r="C82" s="215" t="s">
        <v>56</v>
      </c>
      <c r="D82" s="216" t="s">
        <v>140</v>
      </c>
      <c r="E82" s="217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9"/>
      <c r="Q82" s="220">
        <f t="shared" si="2"/>
        <v>0</v>
      </c>
    </row>
    <row r="83" spans="2:17">
      <c r="B83" s="131" t="s">
        <v>131</v>
      </c>
      <c r="C83" s="58" t="s">
        <v>57</v>
      </c>
      <c r="D83" s="75" t="s">
        <v>140</v>
      </c>
      <c r="E83" s="149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1"/>
      <c r="Q83" s="143">
        <f t="shared" si="2"/>
        <v>0</v>
      </c>
    </row>
    <row r="84" spans="2:17" ht="13.5" thickBot="1">
      <c r="B84" s="131" t="s">
        <v>132</v>
      </c>
      <c r="C84" s="58" t="s">
        <v>58</v>
      </c>
      <c r="D84" s="75" t="s">
        <v>140</v>
      </c>
      <c r="E84" s="153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5"/>
      <c r="Q84" s="143">
        <f t="shared" si="2"/>
        <v>0</v>
      </c>
    </row>
    <row r="85" spans="2:17" ht="13.5" thickBot="1">
      <c r="B85" s="18" t="s">
        <v>136</v>
      </c>
      <c r="C85" s="19"/>
      <c r="D85" s="37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57"/>
    </row>
    <row r="86" spans="2:17" ht="13.5" thickBot="1">
      <c r="B86" s="131" t="s">
        <v>133</v>
      </c>
      <c r="C86" s="58" t="s">
        <v>59</v>
      </c>
      <c r="D86" s="75" t="s">
        <v>160</v>
      </c>
      <c r="E86" s="140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2"/>
      <c r="Q86" s="143">
        <f>SUM(E86:P86)</f>
        <v>0</v>
      </c>
    </row>
    <row r="87" spans="2:17" ht="13.5" thickBot="1">
      <c r="B87" s="18" t="s">
        <v>141</v>
      </c>
      <c r="C87" s="19"/>
      <c r="D87" s="37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57"/>
    </row>
    <row r="88" spans="2:17">
      <c r="B88" s="131" t="s">
        <v>233</v>
      </c>
      <c r="C88" s="58" t="s">
        <v>101</v>
      </c>
      <c r="D88" s="75" t="s">
        <v>142</v>
      </c>
      <c r="E88" s="146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  <c r="Q88" s="143">
        <f>SUM(E88:P88)</f>
        <v>0</v>
      </c>
    </row>
    <row r="89" spans="2:17">
      <c r="B89" s="131" t="s">
        <v>234</v>
      </c>
      <c r="C89" s="58" t="s">
        <v>102</v>
      </c>
      <c r="D89" s="75" t="s">
        <v>142</v>
      </c>
      <c r="E89" s="149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1"/>
      <c r="Q89" s="143">
        <f>SUM(E89:P89)</f>
        <v>0</v>
      </c>
    </row>
    <row r="90" spans="2:17">
      <c r="B90" s="131" t="s">
        <v>235</v>
      </c>
      <c r="C90" s="58" t="s">
        <v>182</v>
      </c>
      <c r="D90" s="75" t="s">
        <v>143</v>
      </c>
      <c r="E90" s="149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  <c r="Q90" s="143">
        <f>SUM(E90:P90)</f>
        <v>0</v>
      </c>
    </row>
    <row r="91" spans="2:17">
      <c r="B91" s="131" t="s">
        <v>236</v>
      </c>
      <c r="C91" s="58" t="s">
        <v>181</v>
      </c>
      <c r="D91" s="75" t="s">
        <v>143</v>
      </c>
      <c r="E91" s="149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  <c r="Q91" s="143">
        <f>SUM(E91:P91)</f>
        <v>0</v>
      </c>
    </row>
    <row r="92" spans="2:17">
      <c r="B92" s="131" t="s">
        <v>237</v>
      </c>
      <c r="C92" s="58" t="s">
        <v>180</v>
      </c>
      <c r="D92" s="75" t="s">
        <v>143</v>
      </c>
      <c r="E92" s="153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5"/>
      <c r="Q92" s="143">
        <f>SUM(E92:P92)</f>
        <v>0</v>
      </c>
    </row>
    <row r="93" spans="2:17" ht="13.5" thickBot="1">
      <c r="B93" s="158"/>
      <c r="C93" s="159"/>
      <c r="D93" s="160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3"/>
    </row>
    <row r="94" spans="2:17" ht="13.5" thickBot="1">
      <c r="B94" s="161"/>
      <c r="C94" s="162"/>
      <c r="D94" s="163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5"/>
    </row>
    <row r="95" spans="2:17" ht="13.5" thickBot="1">
      <c r="B95" s="13" t="s">
        <v>137</v>
      </c>
      <c r="C95" s="166"/>
      <c r="D95" s="167"/>
      <c r="E95" s="168" t="s">
        <v>11</v>
      </c>
      <c r="F95" s="168" t="s">
        <v>12</v>
      </c>
      <c r="G95" s="168" t="s">
        <v>13</v>
      </c>
      <c r="H95" s="168" t="s">
        <v>14</v>
      </c>
      <c r="I95" s="168" t="s">
        <v>15</v>
      </c>
      <c r="J95" s="168" t="s">
        <v>16</v>
      </c>
      <c r="K95" s="168" t="s">
        <v>17</v>
      </c>
      <c r="L95" s="168" t="s">
        <v>18</v>
      </c>
      <c r="M95" s="168" t="s">
        <v>19</v>
      </c>
      <c r="N95" s="168" t="s">
        <v>20</v>
      </c>
      <c r="O95" s="168" t="s">
        <v>21</v>
      </c>
      <c r="P95" s="168" t="s">
        <v>22</v>
      </c>
      <c r="Q95" s="17" t="s">
        <v>23</v>
      </c>
    </row>
    <row r="96" spans="2:17" ht="13.5" thickBot="1">
      <c r="B96" s="18" t="s">
        <v>60</v>
      </c>
      <c r="C96" s="19"/>
      <c r="D96" s="37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24"/>
    </row>
    <row r="97" spans="2:17">
      <c r="B97" s="114" t="s">
        <v>61</v>
      </c>
      <c r="C97" s="58" t="s">
        <v>62</v>
      </c>
      <c r="D97" s="75" t="s">
        <v>140</v>
      </c>
      <c r="E97" s="170">
        <f>E71+E72+E73+E77+E78+E79+E80+E82+E84</f>
        <v>0</v>
      </c>
      <c r="F97" s="171">
        <f t="shared" ref="F97:Q97" si="3">F71+F72+F73+F77+F78+F79+F80+F82+F84</f>
        <v>0</v>
      </c>
      <c r="G97" s="171">
        <f t="shared" si="3"/>
        <v>0</v>
      </c>
      <c r="H97" s="171">
        <f t="shared" si="3"/>
        <v>0</v>
      </c>
      <c r="I97" s="171">
        <f t="shared" si="3"/>
        <v>0</v>
      </c>
      <c r="J97" s="171">
        <f t="shared" si="3"/>
        <v>0</v>
      </c>
      <c r="K97" s="171">
        <f t="shared" si="3"/>
        <v>0</v>
      </c>
      <c r="L97" s="171">
        <f t="shared" si="3"/>
        <v>0</v>
      </c>
      <c r="M97" s="171">
        <f t="shared" si="3"/>
        <v>0</v>
      </c>
      <c r="N97" s="171">
        <f t="shared" si="3"/>
        <v>0</v>
      </c>
      <c r="O97" s="171">
        <f t="shared" si="3"/>
        <v>0</v>
      </c>
      <c r="P97" s="172">
        <f t="shared" si="3"/>
        <v>0</v>
      </c>
      <c r="Q97" s="143">
        <f t="shared" si="3"/>
        <v>0</v>
      </c>
    </row>
    <row r="98" spans="2:17">
      <c r="B98" s="114" t="s">
        <v>63</v>
      </c>
      <c r="C98" s="58" t="s">
        <v>64</v>
      </c>
      <c r="D98" s="75" t="s">
        <v>140</v>
      </c>
      <c r="E98" s="173">
        <f>IF($C$23=1,E71+E72+E77+E78+E79+E82+E84,E71+E72+IF(OR(E50=1,E50=3)=TRUE,(E77+E78+E79+E82+E84)*E54/(E54+E55),0))</f>
        <v>0</v>
      </c>
      <c r="F98" s="174">
        <f t="shared" ref="F98:P98" si="4">IF($C$23=1,F71+F72+F77+F78+F79+F82+F84,F71+F72+IF(OR(F50=1,F50=3)=TRUE,(F77+F78+F79+F82+F84)*F54/(F54+F55),0))</f>
        <v>0</v>
      </c>
      <c r="G98" s="174">
        <f t="shared" si="4"/>
        <v>0</v>
      </c>
      <c r="H98" s="174">
        <f t="shared" si="4"/>
        <v>0</v>
      </c>
      <c r="I98" s="174">
        <f t="shared" si="4"/>
        <v>0</v>
      </c>
      <c r="J98" s="174">
        <f t="shared" si="4"/>
        <v>0</v>
      </c>
      <c r="K98" s="174">
        <f t="shared" si="4"/>
        <v>0</v>
      </c>
      <c r="L98" s="174">
        <f t="shared" si="4"/>
        <v>0</v>
      </c>
      <c r="M98" s="174">
        <f t="shared" si="4"/>
        <v>0</v>
      </c>
      <c r="N98" s="174">
        <f t="shared" si="4"/>
        <v>0</v>
      </c>
      <c r="O98" s="174">
        <f t="shared" si="4"/>
        <v>0</v>
      </c>
      <c r="P98" s="175">
        <f t="shared" si="4"/>
        <v>0</v>
      </c>
      <c r="Q98" s="143">
        <f>IF($C$23=1,Q71+Q72+Q77+Q78+Q79+Q82+Q84,Q71+Q72+IF(OR(Q50=1,Q50=3)=TRUE,(Q77+Q78+Q79+Q82+Q84)*Q54/(Q54+Q55),0))</f>
        <v>0</v>
      </c>
    </row>
    <row r="99" spans="2:17">
      <c r="B99" s="225" t="s">
        <v>65</v>
      </c>
      <c r="C99" s="215" t="s">
        <v>66</v>
      </c>
      <c r="D99" s="216" t="s">
        <v>140</v>
      </c>
      <c r="E99" s="226">
        <f>IF($C$23=1,E54-E58-E61-E65,E54+E55-E59-E62-E65)</f>
        <v>0</v>
      </c>
      <c r="F99" s="227">
        <f t="shared" ref="F99:Q99" si="5">IF($C$23=1,F54-F58-F61-F65,F54+F55-F59-F62-F65)</f>
        <v>0</v>
      </c>
      <c r="G99" s="227">
        <f t="shared" si="5"/>
        <v>0</v>
      </c>
      <c r="H99" s="227">
        <f t="shared" si="5"/>
        <v>0</v>
      </c>
      <c r="I99" s="227">
        <f t="shared" si="5"/>
        <v>0</v>
      </c>
      <c r="J99" s="227">
        <f t="shared" si="5"/>
        <v>0</v>
      </c>
      <c r="K99" s="227">
        <f t="shared" si="5"/>
        <v>0</v>
      </c>
      <c r="L99" s="227">
        <f t="shared" si="5"/>
        <v>0</v>
      </c>
      <c r="M99" s="227">
        <f t="shared" si="5"/>
        <v>0</v>
      </c>
      <c r="N99" s="227">
        <f t="shared" si="5"/>
        <v>0</v>
      </c>
      <c r="O99" s="227">
        <f t="shared" si="5"/>
        <v>0</v>
      </c>
      <c r="P99" s="228">
        <f t="shared" si="5"/>
        <v>0</v>
      </c>
      <c r="Q99" s="220">
        <f t="shared" si="5"/>
        <v>0</v>
      </c>
    </row>
    <row r="100" spans="2:17">
      <c r="B100" s="225" t="s">
        <v>67</v>
      </c>
      <c r="C100" s="215" t="s">
        <v>68</v>
      </c>
      <c r="D100" s="216" t="s">
        <v>140</v>
      </c>
      <c r="E100" s="226">
        <f>IF($C$23=1,0,IF(E55&gt;0,E99*E55/(E54+E55),0))</f>
        <v>0</v>
      </c>
      <c r="F100" s="227">
        <f t="shared" ref="F100:Q100" si="6">IF($C$23=1,0,IF(F55&gt;0,F99*F55/(F54+F55),0))</f>
        <v>0</v>
      </c>
      <c r="G100" s="227">
        <f t="shared" si="6"/>
        <v>0</v>
      </c>
      <c r="H100" s="227">
        <f t="shared" si="6"/>
        <v>0</v>
      </c>
      <c r="I100" s="227">
        <f t="shared" si="6"/>
        <v>0</v>
      </c>
      <c r="J100" s="227">
        <f t="shared" si="6"/>
        <v>0</v>
      </c>
      <c r="K100" s="227">
        <f t="shared" si="6"/>
        <v>0</v>
      </c>
      <c r="L100" s="227">
        <f t="shared" si="6"/>
        <v>0</v>
      </c>
      <c r="M100" s="227">
        <f t="shared" si="6"/>
        <v>0</v>
      </c>
      <c r="N100" s="227">
        <f t="shared" si="6"/>
        <v>0</v>
      </c>
      <c r="O100" s="227">
        <f t="shared" si="6"/>
        <v>0</v>
      </c>
      <c r="P100" s="228">
        <f t="shared" si="6"/>
        <v>0</v>
      </c>
      <c r="Q100" s="220">
        <f t="shared" si="6"/>
        <v>0</v>
      </c>
    </row>
    <row r="101" spans="2:17">
      <c r="B101" s="114" t="s">
        <v>69</v>
      </c>
      <c r="C101" s="58" t="s">
        <v>70</v>
      </c>
      <c r="D101" s="75" t="s">
        <v>140</v>
      </c>
      <c r="E101" s="173">
        <f>E66-E68+E67</f>
        <v>0</v>
      </c>
      <c r="F101" s="174">
        <f t="shared" ref="F101:Q101" si="7">F66-F68+F67</f>
        <v>0</v>
      </c>
      <c r="G101" s="174">
        <f t="shared" si="7"/>
        <v>0</v>
      </c>
      <c r="H101" s="174">
        <f t="shared" si="7"/>
        <v>0</v>
      </c>
      <c r="I101" s="174">
        <f t="shared" si="7"/>
        <v>0</v>
      </c>
      <c r="J101" s="174">
        <f t="shared" si="7"/>
        <v>0</v>
      </c>
      <c r="K101" s="174">
        <f t="shared" si="7"/>
        <v>0</v>
      </c>
      <c r="L101" s="174">
        <f t="shared" si="7"/>
        <v>0</v>
      </c>
      <c r="M101" s="174">
        <f t="shared" si="7"/>
        <v>0</v>
      </c>
      <c r="N101" s="174">
        <f t="shared" si="7"/>
        <v>0</v>
      </c>
      <c r="O101" s="174">
        <f t="shared" si="7"/>
        <v>0</v>
      </c>
      <c r="P101" s="175">
        <f t="shared" si="7"/>
        <v>0</v>
      </c>
      <c r="Q101" s="143">
        <f t="shared" si="7"/>
        <v>0</v>
      </c>
    </row>
    <row r="102" spans="2:17">
      <c r="B102" s="114" t="s">
        <v>71</v>
      </c>
      <c r="C102" s="58" t="s">
        <v>72</v>
      </c>
      <c r="D102" s="75" t="s">
        <v>140</v>
      </c>
      <c r="E102" s="173">
        <f>IF($C$38=0,IF(E66&gt;0,E101*E67/(E67+E66),0),0)</f>
        <v>0</v>
      </c>
      <c r="F102" s="174">
        <f t="shared" ref="F102:Q102" si="8">IF($C$38=0,IF(F66&gt;0,F101*F67/(F67+F66),0),0)</f>
        <v>0</v>
      </c>
      <c r="G102" s="174">
        <f t="shared" si="8"/>
        <v>0</v>
      </c>
      <c r="H102" s="174">
        <f t="shared" si="8"/>
        <v>0</v>
      </c>
      <c r="I102" s="174">
        <f t="shared" si="8"/>
        <v>0</v>
      </c>
      <c r="J102" s="174">
        <f t="shared" si="8"/>
        <v>0</v>
      </c>
      <c r="K102" s="174">
        <f t="shared" si="8"/>
        <v>0</v>
      </c>
      <c r="L102" s="174">
        <f t="shared" si="8"/>
        <v>0</v>
      </c>
      <c r="M102" s="174">
        <f t="shared" si="8"/>
        <v>0</v>
      </c>
      <c r="N102" s="174">
        <f t="shared" si="8"/>
        <v>0</v>
      </c>
      <c r="O102" s="174">
        <f t="shared" si="8"/>
        <v>0</v>
      </c>
      <c r="P102" s="175">
        <f t="shared" si="8"/>
        <v>0</v>
      </c>
      <c r="Q102" s="143">
        <f t="shared" si="8"/>
        <v>0</v>
      </c>
    </row>
    <row r="103" spans="2:17">
      <c r="B103" s="225" t="s">
        <v>73</v>
      </c>
      <c r="C103" s="215" t="s">
        <v>74</v>
      </c>
      <c r="D103" s="216" t="s">
        <v>140</v>
      </c>
      <c r="E103" s="226">
        <f>IF($C$23=1,E59-E56+E62-E57+IF(E109&gt;0,(E68-E67+E102)/E109,0),E59+E62-E55+E100+IF(E109&gt;0,(E68-E67+E102)/E109,0))</f>
        <v>0</v>
      </c>
      <c r="F103" s="227">
        <f t="shared" ref="F103:Q103" si="9">IF($C$23=1,F59-F56+F62-F57+IF(F109&gt;0,(F68-F67+F102)/F109,0),F59+F62-F55+F100+IF(F109&gt;0,(F68-F67+F102)/F109,0))</f>
        <v>0</v>
      </c>
      <c r="G103" s="227">
        <f t="shared" si="9"/>
        <v>0</v>
      </c>
      <c r="H103" s="227">
        <f t="shared" si="9"/>
        <v>0</v>
      </c>
      <c r="I103" s="227">
        <f t="shared" si="9"/>
        <v>0</v>
      </c>
      <c r="J103" s="227">
        <f t="shared" si="9"/>
        <v>0</v>
      </c>
      <c r="K103" s="227">
        <f t="shared" si="9"/>
        <v>0</v>
      </c>
      <c r="L103" s="227">
        <f t="shared" si="9"/>
        <v>0</v>
      </c>
      <c r="M103" s="227">
        <f t="shared" si="9"/>
        <v>0</v>
      </c>
      <c r="N103" s="227">
        <f t="shared" si="9"/>
        <v>0</v>
      </c>
      <c r="O103" s="227">
        <f t="shared" si="9"/>
        <v>0</v>
      </c>
      <c r="P103" s="228">
        <f t="shared" si="9"/>
        <v>0</v>
      </c>
      <c r="Q103" s="220">
        <f t="shared" si="9"/>
        <v>0</v>
      </c>
    </row>
    <row r="104" spans="2:17">
      <c r="B104" s="225" t="s">
        <v>75</v>
      </c>
      <c r="C104" s="215" t="s">
        <v>76</v>
      </c>
      <c r="D104" s="216" t="s">
        <v>140</v>
      </c>
      <c r="E104" s="226">
        <f t="shared" ref="E104:Q104" si="10">IF($C$31=1,(E55+E56+E57)/$C$32/$C$34,0)</f>
        <v>0</v>
      </c>
      <c r="F104" s="227">
        <f t="shared" si="10"/>
        <v>0</v>
      </c>
      <c r="G104" s="227">
        <f t="shared" si="10"/>
        <v>0</v>
      </c>
      <c r="H104" s="227">
        <f t="shared" si="10"/>
        <v>0</v>
      </c>
      <c r="I104" s="227">
        <f t="shared" si="10"/>
        <v>0</v>
      </c>
      <c r="J104" s="227">
        <f t="shared" si="10"/>
        <v>0</v>
      </c>
      <c r="K104" s="227">
        <f t="shared" si="10"/>
        <v>0</v>
      </c>
      <c r="L104" s="227">
        <f t="shared" si="10"/>
        <v>0</v>
      </c>
      <c r="M104" s="227">
        <f t="shared" si="10"/>
        <v>0</v>
      </c>
      <c r="N104" s="227">
        <f t="shared" si="10"/>
        <v>0</v>
      </c>
      <c r="O104" s="227">
        <f t="shared" si="10"/>
        <v>0</v>
      </c>
      <c r="P104" s="228">
        <f t="shared" si="10"/>
        <v>0</v>
      </c>
      <c r="Q104" s="220">
        <f t="shared" si="10"/>
        <v>0</v>
      </c>
    </row>
    <row r="105" spans="2:17" ht="13.5" thickBot="1">
      <c r="B105" s="114" t="s">
        <v>77</v>
      </c>
      <c r="C105" s="58" t="s">
        <v>78</v>
      </c>
      <c r="D105" s="75" t="s">
        <v>140</v>
      </c>
      <c r="E105" s="176">
        <f t="shared" ref="E105:Q105" si="11">IF($C$36=1,E67/$C$37,0)</f>
        <v>0</v>
      </c>
      <c r="F105" s="177">
        <f t="shared" si="11"/>
        <v>0</v>
      </c>
      <c r="G105" s="177">
        <f t="shared" si="11"/>
        <v>0</v>
      </c>
      <c r="H105" s="177">
        <f t="shared" si="11"/>
        <v>0</v>
      </c>
      <c r="I105" s="177">
        <f t="shared" si="11"/>
        <v>0</v>
      </c>
      <c r="J105" s="177">
        <f t="shared" si="11"/>
        <v>0</v>
      </c>
      <c r="K105" s="177">
        <f t="shared" si="11"/>
        <v>0</v>
      </c>
      <c r="L105" s="177">
        <f t="shared" si="11"/>
        <v>0</v>
      </c>
      <c r="M105" s="177">
        <f t="shared" si="11"/>
        <v>0</v>
      </c>
      <c r="N105" s="177">
        <f t="shared" si="11"/>
        <v>0</v>
      </c>
      <c r="O105" s="177">
        <f t="shared" si="11"/>
        <v>0</v>
      </c>
      <c r="P105" s="178">
        <f t="shared" si="11"/>
        <v>0</v>
      </c>
      <c r="Q105" s="143">
        <f t="shared" si="11"/>
        <v>0</v>
      </c>
    </row>
    <row r="106" spans="2:17" ht="13.5" thickBot="1">
      <c r="B106" s="18" t="s">
        <v>219</v>
      </c>
      <c r="C106" s="19"/>
      <c r="D106" s="37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24"/>
    </row>
    <row r="107" spans="2:17">
      <c r="B107" s="114" t="s">
        <v>79</v>
      </c>
      <c r="C107" s="58" t="s">
        <v>80</v>
      </c>
      <c r="D107" s="75" t="s">
        <v>139</v>
      </c>
      <c r="E107" s="180">
        <f>IF(E54&gt;0,IF($C$23=1,1-E99/E54,1-E99/(E54+E55)),0)</f>
        <v>0</v>
      </c>
      <c r="F107" s="181">
        <f t="shared" ref="F107:P107" si="12">IF(F54&gt;0,IF($C$23=1,1-F99/F54,1-F99/(F54+F55)),0)</f>
        <v>0</v>
      </c>
      <c r="G107" s="181">
        <f t="shared" si="12"/>
        <v>0</v>
      </c>
      <c r="H107" s="181">
        <f t="shared" si="12"/>
        <v>0</v>
      </c>
      <c r="I107" s="181">
        <f t="shared" si="12"/>
        <v>0</v>
      </c>
      <c r="J107" s="181">
        <f t="shared" si="12"/>
        <v>0</v>
      </c>
      <c r="K107" s="181">
        <f t="shared" si="12"/>
        <v>0</v>
      </c>
      <c r="L107" s="181">
        <f t="shared" si="12"/>
        <v>0</v>
      </c>
      <c r="M107" s="181">
        <f t="shared" si="12"/>
        <v>0</v>
      </c>
      <c r="N107" s="181">
        <f t="shared" si="12"/>
        <v>0</v>
      </c>
      <c r="O107" s="181">
        <f t="shared" si="12"/>
        <v>0</v>
      </c>
      <c r="P107" s="182">
        <f t="shared" si="12"/>
        <v>0</v>
      </c>
      <c r="Q107" s="183">
        <f>IF(Q54&gt;0,IF($C$23=1,1-Q99/Q54,1-Q99/(Q54+Q55)),0)</f>
        <v>0</v>
      </c>
    </row>
    <row r="108" spans="2:17">
      <c r="B108" s="114" t="s">
        <v>81</v>
      </c>
      <c r="C108" s="58" t="s">
        <v>82</v>
      </c>
      <c r="D108" s="75" t="s">
        <v>139</v>
      </c>
      <c r="E108" s="184">
        <f t="shared" ref="E108:Q108" si="13">IF(E66&gt;0,IF($C$38=1,1-E101/E66,1-E101/(E66+E67)),0)</f>
        <v>0</v>
      </c>
      <c r="F108" s="185">
        <f t="shared" si="13"/>
        <v>0</v>
      </c>
      <c r="G108" s="185">
        <f t="shared" si="13"/>
        <v>0</v>
      </c>
      <c r="H108" s="185">
        <f t="shared" si="13"/>
        <v>0</v>
      </c>
      <c r="I108" s="185">
        <f t="shared" si="13"/>
        <v>0</v>
      </c>
      <c r="J108" s="185">
        <f t="shared" si="13"/>
        <v>0</v>
      </c>
      <c r="K108" s="185">
        <f t="shared" si="13"/>
        <v>0</v>
      </c>
      <c r="L108" s="185">
        <f t="shared" si="13"/>
        <v>0</v>
      </c>
      <c r="M108" s="185">
        <f t="shared" si="13"/>
        <v>0</v>
      </c>
      <c r="N108" s="185">
        <f t="shared" si="13"/>
        <v>0</v>
      </c>
      <c r="O108" s="185">
        <f t="shared" si="13"/>
        <v>0</v>
      </c>
      <c r="P108" s="186">
        <f t="shared" si="13"/>
        <v>0</v>
      </c>
      <c r="Q108" s="183">
        <f t="shared" si="13"/>
        <v>0</v>
      </c>
    </row>
    <row r="109" spans="2:17" ht="13.5" thickBot="1">
      <c r="B109" s="114" t="s">
        <v>83</v>
      </c>
      <c r="C109" s="58" t="s">
        <v>84</v>
      </c>
      <c r="D109" s="75" t="s">
        <v>139</v>
      </c>
      <c r="E109" s="187">
        <f>IF(E65&gt;0,E66/E65,0)</f>
        <v>0</v>
      </c>
      <c r="F109" s="188">
        <f t="shared" ref="F109:Q109" si="14">IF(F65&gt;0,F66/F65,0)</f>
        <v>0</v>
      </c>
      <c r="G109" s="188">
        <f t="shared" si="14"/>
        <v>0</v>
      </c>
      <c r="H109" s="188">
        <f t="shared" si="14"/>
        <v>0</v>
      </c>
      <c r="I109" s="188">
        <f t="shared" si="14"/>
        <v>0</v>
      </c>
      <c r="J109" s="188">
        <f t="shared" si="14"/>
        <v>0</v>
      </c>
      <c r="K109" s="188">
        <f t="shared" si="14"/>
        <v>0</v>
      </c>
      <c r="L109" s="188">
        <f t="shared" si="14"/>
        <v>0</v>
      </c>
      <c r="M109" s="188">
        <f t="shared" si="14"/>
        <v>0</v>
      </c>
      <c r="N109" s="188">
        <f t="shared" si="14"/>
        <v>0</v>
      </c>
      <c r="O109" s="188">
        <f t="shared" si="14"/>
        <v>0</v>
      </c>
      <c r="P109" s="189">
        <f t="shared" si="14"/>
        <v>0</v>
      </c>
      <c r="Q109" s="183">
        <f t="shared" si="14"/>
        <v>0</v>
      </c>
    </row>
    <row r="110" spans="2:17" ht="13.5" thickBot="1">
      <c r="B110" s="18" t="s">
        <v>221</v>
      </c>
      <c r="C110" s="19"/>
      <c r="D110" s="37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90"/>
    </row>
    <row r="111" spans="2:17">
      <c r="B111" s="114" t="s">
        <v>222</v>
      </c>
      <c r="C111" s="58" t="s">
        <v>85</v>
      </c>
      <c r="D111" s="75" t="s">
        <v>139</v>
      </c>
      <c r="E111" s="191">
        <f>IF(E97&gt;0,(E68+E59+E62)/(E97*2.58+E105*$C$39+E104*$C$33),0)</f>
        <v>0</v>
      </c>
      <c r="F111" s="85">
        <f t="shared" ref="F111:Q111" si="15">IF(F97&gt;0,(F68+F59+F62)/(F97*2.58+F105*$C$39+F104*$C$33),0)</f>
        <v>0</v>
      </c>
      <c r="G111" s="85">
        <f t="shared" si="15"/>
        <v>0</v>
      </c>
      <c r="H111" s="85">
        <f t="shared" si="15"/>
        <v>0</v>
      </c>
      <c r="I111" s="85">
        <f t="shared" si="15"/>
        <v>0</v>
      </c>
      <c r="J111" s="85">
        <f t="shared" si="15"/>
        <v>0</v>
      </c>
      <c r="K111" s="85">
        <f t="shared" si="15"/>
        <v>0</v>
      </c>
      <c r="L111" s="85">
        <f t="shared" si="15"/>
        <v>0</v>
      </c>
      <c r="M111" s="85">
        <f t="shared" si="15"/>
        <v>0</v>
      </c>
      <c r="N111" s="85">
        <f t="shared" si="15"/>
        <v>0</v>
      </c>
      <c r="O111" s="85">
        <f t="shared" si="15"/>
        <v>0</v>
      </c>
      <c r="P111" s="192">
        <f t="shared" si="15"/>
        <v>0</v>
      </c>
      <c r="Q111" s="183">
        <f t="shared" si="15"/>
        <v>0</v>
      </c>
    </row>
    <row r="112" spans="2:17">
      <c r="B112" s="193" t="s">
        <v>86</v>
      </c>
      <c r="C112" s="194"/>
      <c r="D112" s="195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7"/>
    </row>
    <row r="113" spans="2:17">
      <c r="B113" s="114" t="s">
        <v>87</v>
      </c>
      <c r="C113" s="58" t="s">
        <v>88</v>
      </c>
      <c r="D113" s="75" t="s">
        <v>144</v>
      </c>
      <c r="E113" s="180">
        <f>IF($C$25&gt;0,E103/$C$25,0)</f>
        <v>0</v>
      </c>
      <c r="F113" s="181">
        <f t="shared" ref="F113:Q113" si="16">IF($C$25&gt;0,F103/$C$25,0)</f>
        <v>0</v>
      </c>
      <c r="G113" s="181">
        <f t="shared" si="16"/>
        <v>0</v>
      </c>
      <c r="H113" s="181">
        <f t="shared" si="16"/>
        <v>0</v>
      </c>
      <c r="I113" s="181">
        <f t="shared" si="16"/>
        <v>0</v>
      </c>
      <c r="J113" s="181">
        <f t="shared" si="16"/>
        <v>0</v>
      </c>
      <c r="K113" s="181">
        <f t="shared" si="16"/>
        <v>0</v>
      </c>
      <c r="L113" s="181">
        <f t="shared" si="16"/>
        <v>0</v>
      </c>
      <c r="M113" s="181">
        <f t="shared" si="16"/>
        <v>0</v>
      </c>
      <c r="N113" s="181">
        <f t="shared" si="16"/>
        <v>0</v>
      </c>
      <c r="O113" s="181">
        <f t="shared" si="16"/>
        <v>0</v>
      </c>
      <c r="P113" s="182">
        <f t="shared" si="16"/>
        <v>0</v>
      </c>
      <c r="Q113" s="183">
        <f t="shared" si="16"/>
        <v>0</v>
      </c>
    </row>
    <row r="114" spans="2:17">
      <c r="B114" s="114" t="s">
        <v>89</v>
      </c>
      <c r="C114" s="58" t="s">
        <v>90</v>
      </c>
      <c r="D114" s="75" t="s">
        <v>139</v>
      </c>
      <c r="E114" s="184">
        <f>IF(E52&gt;0,E103/E52,0)</f>
        <v>0</v>
      </c>
      <c r="F114" s="185">
        <f t="shared" ref="F114:Q114" si="17">IF(F52&gt;0,F103/F52,0)</f>
        <v>0</v>
      </c>
      <c r="G114" s="185">
        <f t="shared" si="17"/>
        <v>0</v>
      </c>
      <c r="H114" s="185">
        <f t="shared" si="17"/>
        <v>0</v>
      </c>
      <c r="I114" s="185">
        <f t="shared" si="17"/>
        <v>0</v>
      </c>
      <c r="J114" s="185">
        <f t="shared" si="17"/>
        <v>0</v>
      </c>
      <c r="K114" s="185">
        <f t="shared" si="17"/>
        <v>0</v>
      </c>
      <c r="L114" s="185">
        <f t="shared" si="17"/>
        <v>0</v>
      </c>
      <c r="M114" s="185">
        <f t="shared" si="17"/>
        <v>0</v>
      </c>
      <c r="N114" s="185">
        <f t="shared" si="17"/>
        <v>0</v>
      </c>
      <c r="O114" s="185">
        <f t="shared" si="17"/>
        <v>0</v>
      </c>
      <c r="P114" s="186">
        <f t="shared" si="17"/>
        <v>0</v>
      </c>
      <c r="Q114" s="183">
        <f t="shared" si="17"/>
        <v>0</v>
      </c>
    </row>
    <row r="115" spans="2:17">
      <c r="B115" s="114" t="s">
        <v>91</v>
      </c>
      <c r="C115" s="58" t="s">
        <v>92</v>
      </c>
      <c r="D115" s="75" t="s">
        <v>139</v>
      </c>
      <c r="E115" s="184">
        <f>IF(E98&gt;0,E103/E98,0)</f>
        <v>0</v>
      </c>
      <c r="F115" s="185">
        <f t="shared" ref="F115:Q115" si="18">IF(F98&gt;0,F103/F98,0)</f>
        <v>0</v>
      </c>
      <c r="G115" s="185">
        <f t="shared" si="18"/>
        <v>0</v>
      </c>
      <c r="H115" s="185">
        <f t="shared" si="18"/>
        <v>0</v>
      </c>
      <c r="I115" s="185">
        <f t="shared" si="18"/>
        <v>0</v>
      </c>
      <c r="J115" s="185">
        <f t="shared" si="18"/>
        <v>0</v>
      </c>
      <c r="K115" s="185">
        <f t="shared" si="18"/>
        <v>0</v>
      </c>
      <c r="L115" s="185">
        <f t="shared" si="18"/>
        <v>0</v>
      </c>
      <c r="M115" s="185">
        <f t="shared" si="18"/>
        <v>0</v>
      </c>
      <c r="N115" s="185">
        <f t="shared" si="18"/>
        <v>0</v>
      </c>
      <c r="O115" s="185">
        <f t="shared" si="18"/>
        <v>0</v>
      </c>
      <c r="P115" s="186">
        <f t="shared" si="18"/>
        <v>0</v>
      </c>
      <c r="Q115" s="183">
        <f t="shared" si="18"/>
        <v>0</v>
      </c>
    </row>
    <row r="116" spans="2:17" ht="13.5" thickBot="1">
      <c r="B116" s="114" t="s">
        <v>93</v>
      </c>
      <c r="C116" s="58" t="s">
        <v>94</v>
      </c>
      <c r="D116" s="75" t="s">
        <v>139</v>
      </c>
      <c r="E116" s="187">
        <f>IF(E52&gt;0,E54/E52,0)</f>
        <v>0</v>
      </c>
      <c r="F116" s="188">
        <f t="shared" ref="F116:Q116" si="19">IF(F52&gt;0,F54/F52,0)</f>
        <v>0</v>
      </c>
      <c r="G116" s="188">
        <f t="shared" si="19"/>
        <v>0</v>
      </c>
      <c r="H116" s="188">
        <f t="shared" si="19"/>
        <v>0</v>
      </c>
      <c r="I116" s="188">
        <f t="shared" si="19"/>
        <v>0</v>
      </c>
      <c r="J116" s="188">
        <f t="shared" si="19"/>
        <v>0</v>
      </c>
      <c r="K116" s="188">
        <f t="shared" si="19"/>
        <v>0</v>
      </c>
      <c r="L116" s="188">
        <f t="shared" si="19"/>
        <v>0</v>
      </c>
      <c r="M116" s="188">
        <f t="shared" si="19"/>
        <v>0</v>
      </c>
      <c r="N116" s="188">
        <f t="shared" si="19"/>
        <v>0</v>
      </c>
      <c r="O116" s="188">
        <f t="shared" si="19"/>
        <v>0</v>
      </c>
      <c r="P116" s="189">
        <f t="shared" si="19"/>
        <v>0</v>
      </c>
      <c r="Q116" s="183">
        <f t="shared" si="19"/>
        <v>0</v>
      </c>
    </row>
    <row r="117" spans="2:17" ht="13.5" thickBot="1">
      <c r="B117" s="18" t="s">
        <v>95</v>
      </c>
      <c r="C117" s="19"/>
      <c r="D117" s="37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90"/>
    </row>
    <row r="118" spans="2:17" ht="13.5" thickBot="1">
      <c r="B118" s="114" t="s">
        <v>96</v>
      </c>
      <c r="C118" s="58" t="s">
        <v>97</v>
      </c>
      <c r="D118" s="75" t="s">
        <v>231</v>
      </c>
      <c r="E118" s="191">
        <f>IF(E66&gt;0,E86/E66,0)</f>
        <v>0</v>
      </c>
      <c r="F118" s="85">
        <f t="shared" ref="F118:Q118" si="20">IF(F66&gt;0,F86/F66,0)</f>
        <v>0</v>
      </c>
      <c r="G118" s="85">
        <f t="shared" si="20"/>
        <v>0</v>
      </c>
      <c r="H118" s="85">
        <f t="shared" si="20"/>
        <v>0</v>
      </c>
      <c r="I118" s="85">
        <f t="shared" si="20"/>
        <v>0</v>
      </c>
      <c r="J118" s="85">
        <f t="shared" si="20"/>
        <v>0</v>
      </c>
      <c r="K118" s="85">
        <f t="shared" si="20"/>
        <v>0</v>
      </c>
      <c r="L118" s="85">
        <f t="shared" si="20"/>
        <v>0</v>
      </c>
      <c r="M118" s="85">
        <f t="shared" si="20"/>
        <v>0</v>
      </c>
      <c r="N118" s="85">
        <f t="shared" si="20"/>
        <v>0</v>
      </c>
      <c r="O118" s="85">
        <f t="shared" si="20"/>
        <v>0</v>
      </c>
      <c r="P118" s="192">
        <f t="shared" si="20"/>
        <v>0</v>
      </c>
      <c r="Q118" s="183">
        <f t="shared" si="20"/>
        <v>0</v>
      </c>
    </row>
    <row r="119" spans="2:17" ht="13.5" thickBot="1">
      <c r="B119" s="18" t="s">
        <v>98</v>
      </c>
      <c r="C119" s="19"/>
      <c r="D119" s="37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98"/>
    </row>
    <row r="120" spans="2:17" ht="13.5" thickBot="1">
      <c r="B120" s="114" t="s">
        <v>99</v>
      </c>
      <c r="C120" s="58" t="s">
        <v>100</v>
      </c>
      <c r="D120" s="75" t="s">
        <v>145</v>
      </c>
      <c r="E120" s="191">
        <f t="shared" ref="E120:Q120" si="21">IF(SUM(E68,E59,E62)&gt;0,(E97*$C$41+E105*$C$43+E104*$C$42+E86/1000*$C$44)/(E59+E62+E68),0)</f>
        <v>0</v>
      </c>
      <c r="F120" s="85">
        <f t="shared" si="21"/>
        <v>0</v>
      </c>
      <c r="G120" s="85">
        <f t="shared" si="21"/>
        <v>0</v>
      </c>
      <c r="H120" s="85">
        <f t="shared" si="21"/>
        <v>0</v>
      </c>
      <c r="I120" s="85">
        <f t="shared" si="21"/>
        <v>0</v>
      </c>
      <c r="J120" s="85">
        <f t="shared" si="21"/>
        <v>0</v>
      </c>
      <c r="K120" s="85">
        <f t="shared" si="21"/>
        <v>0</v>
      </c>
      <c r="L120" s="85">
        <f t="shared" si="21"/>
        <v>0</v>
      </c>
      <c r="M120" s="85">
        <f t="shared" si="21"/>
        <v>0</v>
      </c>
      <c r="N120" s="85">
        <f t="shared" si="21"/>
        <v>0</v>
      </c>
      <c r="O120" s="85">
        <f t="shared" si="21"/>
        <v>0</v>
      </c>
      <c r="P120" s="192">
        <f t="shared" si="21"/>
        <v>0</v>
      </c>
      <c r="Q120" s="183">
        <f t="shared" si="21"/>
        <v>0</v>
      </c>
    </row>
    <row r="121" spans="2:17" ht="13.5" thickBot="1">
      <c r="B121" s="18" t="s">
        <v>138</v>
      </c>
      <c r="C121" s="19"/>
      <c r="D121" s="37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24"/>
    </row>
    <row r="122" spans="2:17" ht="13.5" thickBot="1">
      <c r="B122" s="114" t="s">
        <v>103</v>
      </c>
      <c r="C122" s="58" t="s">
        <v>179</v>
      </c>
      <c r="D122" s="75" t="s">
        <v>146</v>
      </c>
      <c r="E122" s="191">
        <f>IF(E88&gt;0,(E88-E89)/E88*100,0)</f>
        <v>0</v>
      </c>
      <c r="F122" s="85">
        <f t="shared" ref="F122:Q122" si="22">IF(F88&gt;0,(F88-F89)/F88*100,0)</f>
        <v>0</v>
      </c>
      <c r="G122" s="85">
        <f t="shared" si="22"/>
        <v>0</v>
      </c>
      <c r="H122" s="85">
        <f t="shared" si="22"/>
        <v>0</v>
      </c>
      <c r="I122" s="85">
        <f t="shared" si="22"/>
        <v>0</v>
      </c>
      <c r="J122" s="85">
        <f t="shared" si="22"/>
        <v>0</v>
      </c>
      <c r="K122" s="85">
        <f t="shared" si="22"/>
        <v>0</v>
      </c>
      <c r="L122" s="85">
        <f t="shared" si="22"/>
        <v>0</v>
      </c>
      <c r="M122" s="85">
        <f t="shared" si="22"/>
        <v>0</v>
      </c>
      <c r="N122" s="85">
        <f t="shared" si="22"/>
        <v>0</v>
      </c>
      <c r="O122" s="85">
        <f t="shared" si="22"/>
        <v>0</v>
      </c>
      <c r="P122" s="192">
        <f t="shared" si="22"/>
        <v>0</v>
      </c>
      <c r="Q122" s="183">
        <f t="shared" si="22"/>
        <v>0</v>
      </c>
    </row>
    <row r="123" spans="2:17" ht="13.5" thickBot="1">
      <c r="B123" s="18" t="s">
        <v>220</v>
      </c>
      <c r="C123" s="19"/>
      <c r="D123" s="37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24"/>
    </row>
    <row r="124" spans="2:17">
      <c r="B124" s="114" t="s">
        <v>104</v>
      </c>
      <c r="C124" s="58" t="s">
        <v>177</v>
      </c>
      <c r="D124" s="75" t="s">
        <v>146</v>
      </c>
      <c r="E124" s="180">
        <f>IF(E91&gt;0,E90/E91*100,0)</f>
        <v>0</v>
      </c>
      <c r="F124" s="181">
        <f t="shared" ref="F124:Q124" si="23">IF(F91&gt;0,F90/F91*100,0)</f>
        <v>0</v>
      </c>
      <c r="G124" s="181">
        <f t="shared" si="23"/>
        <v>0</v>
      </c>
      <c r="H124" s="181">
        <f t="shared" si="23"/>
        <v>0</v>
      </c>
      <c r="I124" s="181">
        <f t="shared" si="23"/>
        <v>0</v>
      </c>
      <c r="J124" s="181">
        <f t="shared" si="23"/>
        <v>0</v>
      </c>
      <c r="K124" s="181">
        <f t="shared" si="23"/>
        <v>0</v>
      </c>
      <c r="L124" s="181">
        <f t="shared" si="23"/>
        <v>0</v>
      </c>
      <c r="M124" s="181">
        <f t="shared" si="23"/>
        <v>0</v>
      </c>
      <c r="N124" s="181">
        <f t="shared" si="23"/>
        <v>0</v>
      </c>
      <c r="O124" s="181">
        <f t="shared" si="23"/>
        <v>0</v>
      </c>
      <c r="P124" s="182">
        <f t="shared" si="23"/>
        <v>0</v>
      </c>
      <c r="Q124" s="183">
        <f t="shared" si="23"/>
        <v>0</v>
      </c>
    </row>
    <row r="125" spans="2:17">
      <c r="B125" s="114" t="s">
        <v>105</v>
      </c>
      <c r="C125" s="58" t="s">
        <v>178</v>
      </c>
      <c r="D125" s="75" t="s">
        <v>146</v>
      </c>
      <c r="E125" s="187">
        <f>IF(E91&gt;0,E92/E91*100,0)</f>
        <v>0</v>
      </c>
      <c r="F125" s="188">
        <f t="shared" ref="F125:Q125" si="24">IF(F91&gt;0,F92/F91*100,0)</f>
        <v>0</v>
      </c>
      <c r="G125" s="188">
        <f t="shared" si="24"/>
        <v>0</v>
      </c>
      <c r="H125" s="188">
        <f t="shared" si="24"/>
        <v>0</v>
      </c>
      <c r="I125" s="188">
        <f t="shared" si="24"/>
        <v>0</v>
      </c>
      <c r="J125" s="188">
        <f t="shared" si="24"/>
        <v>0</v>
      </c>
      <c r="K125" s="188">
        <f t="shared" si="24"/>
        <v>0</v>
      </c>
      <c r="L125" s="188">
        <f t="shared" si="24"/>
        <v>0</v>
      </c>
      <c r="M125" s="188">
        <f t="shared" si="24"/>
        <v>0</v>
      </c>
      <c r="N125" s="188">
        <f t="shared" si="24"/>
        <v>0</v>
      </c>
      <c r="O125" s="188">
        <f t="shared" si="24"/>
        <v>0</v>
      </c>
      <c r="P125" s="189">
        <f t="shared" si="24"/>
        <v>0</v>
      </c>
      <c r="Q125" s="183">
        <f t="shared" si="24"/>
        <v>0</v>
      </c>
    </row>
    <row r="126" spans="2:17" ht="13.5" thickBot="1">
      <c r="B126" s="199"/>
      <c r="C126" s="200"/>
      <c r="D126" s="201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3"/>
    </row>
    <row r="127" spans="2:17" ht="13.5" thickTop="1">
      <c r="B127" s="4"/>
      <c r="C127" s="124"/>
      <c r="D127" s="12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2:17" ht="13.5" thickTop="1">
      <c r="B128" s="204"/>
      <c r="C128" s="205"/>
      <c r="D128" s="205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</row>
  </sheetData>
  <sheetProtection algorithmName="SHA-512" hashValue="XzN65gvAPz+//Ctwv4PBiFpO6GiGTGWkHLAleviDgK98VpONSYOtQ0xOMiweJ2VsNQTFMq7qUjfMq9zpSRAyyA==" saltValue="MqhLVAjLqGwV66ted4SsYg==" spinCount="100000" sheet="1" objects="1" scenarios="1"/>
  <protectedRanges>
    <protectedRange sqref="C9:D14 C16:D20 C23 C25 C27 C29 C32:C34 C37:C39 C41:C44 I26:I28 I30 I32:I35 F38 E49:P49 E52:P52 E54:P69 E71:P84 E86:P86 E88:P92" name="Plage1"/>
  </protectedRanges>
  <mergeCells count="13">
    <mergeCell ref="F38:J44"/>
    <mergeCell ref="C13:D13"/>
    <mergeCell ref="C14:D14"/>
    <mergeCell ref="C19:D19"/>
    <mergeCell ref="C20:D20"/>
    <mergeCell ref="M5:P5"/>
    <mergeCell ref="C16:D16"/>
    <mergeCell ref="C17:D17"/>
    <mergeCell ref="C18:D18"/>
    <mergeCell ref="C9:D9"/>
    <mergeCell ref="C10:D10"/>
    <mergeCell ref="C11:D11"/>
    <mergeCell ref="C12:D12"/>
  </mergeCells>
  <phoneticPr fontId="2" type="noConversion"/>
  <conditionalFormatting sqref="P24:P42">
    <cfRule type="cellIs" dxfId="0" priority="1" stopIfTrue="1" operator="lessThan">
      <formula>100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Company>CEA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Pierre OBERLE</cp:lastModifiedBy>
  <cp:lastPrinted>2012-12-21T09:18:46Z</cp:lastPrinted>
  <dcterms:created xsi:type="dcterms:W3CDTF">2012-12-19T08:47:16Z</dcterms:created>
  <dcterms:modified xsi:type="dcterms:W3CDTF">2018-09-24T09:59:43Z</dcterms:modified>
</cp:coreProperties>
</file>